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Override PartName="/xl/richData/rdrichvaluestructure.xml" ContentType="application/vnd.ms-excel.rdrichvaluestructure+xml"/>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01-Qualitätswesen\09-Berichte, Statistiken und Beurteilungen\Nachhaltigkeit\Berichterstattung\Berichte\_Archiv\"/>
    </mc:Choice>
  </mc:AlternateContent>
  <bookViews>
    <workbookView xWindow="0" yWindow="0" windowWidth="28800" windowHeight="12210" tabRatio="672" activeTab="3"/>
  </bookViews>
  <sheets>
    <sheet name="Introduction" sheetId="4" r:id="rId1"/>
    <sheet name="Table of Contents &amp; Validation" sheetId="16" r:id="rId2"/>
    <sheet name="General Information" sheetId="3" r:id="rId3"/>
    <sheet name="Environmental Disclosures" sheetId="1" r:id="rId4"/>
    <sheet name="Social Disclosures" sheetId="12" r:id="rId5"/>
    <sheet name="Governance Disclosures" sheetId="7" r:id="rId6"/>
    <sheet name="Fuel Converter" sheetId="8" r:id="rId7"/>
    <sheet name="Fuel Conversion Parameters" sheetId="15" r:id="rId8"/>
    <sheet name="Unit Of Measurement Converter" sheetId="9" r:id="rId9"/>
    <sheet name="Licence" sheetId="14" r:id="rId10"/>
    <sheet name="Enumeration Lists" sheetId="6" r:id="rId11"/>
    <sheet name="Technical Sheet" sheetId="11" r:id="rId12"/>
  </sheets>
  <externalReferences>
    <externalReference r:id="rId13"/>
  </externalReferences>
  <definedNames>
    <definedName name="AddressOfSite">'General Information'!$D$108:$D$132</definedName>
    <definedName name="AmountOfEmissionsTable">'Environmental Disclosures'!$D$80:$K$119</definedName>
    <definedName name="AmountOfEmissionToAir">'Environmental Disclosures'!$G$80:$I$119</definedName>
    <definedName name="AmountOfEmissionToAir_unit">'Environmental Disclosures'!$C$78</definedName>
    <definedName name="AmountOfEmissionToSoil">'Environmental Disclosures'!$K$80:$K$119</definedName>
    <definedName name="AmountOfEmissionToSoil_unit">'Environmental Disclosures'!$C$78</definedName>
    <definedName name="AmountOfEmissionToWater">'Environmental Disclosures'!$J$80:$J$119</definedName>
    <definedName name="AmountOfEmissionToWater_unit">'Environmental Disclosures'!$C$78</definedName>
    <definedName name="AmountOfWaterWithdrawnAtSitesLocatedInAreasOfHighWaterStress">'Environmental Disclosures'!$D$170</definedName>
    <definedName name="AreaOfSiteInBiodiversitySensitiveArea">'Environmental Disclosures'!$G$128:$I$153</definedName>
    <definedName name="AreaOfSiteInBiodiversitySensitiveArea_unit">'Environmental Disclosures'!$C$126</definedName>
    <definedName name="Assets">'General Information'!$E$60</definedName>
    <definedName name="AverageNumberOfAnnualTrainingHoursPerFemaleEmployee">'Social Disclosures'!$D$67</definedName>
    <definedName name="AverageNumberOfAnnualTrainingHoursPerMaleEmployee">'Social Disclosures'!$D$66</definedName>
    <definedName name="AverageNumberOfAnnualTrainingHoursPerNonReportedGenderEmployee">'Social Disclosures'!$D$69</definedName>
    <definedName name="AverageNumberOfAnnualTrainingHoursPerOtherGenderEmployee">'Social Disclosures'!$D$68</definedName>
    <definedName name="BaselineYearMember">'Environmental Disclosures'!$G$21</definedName>
    <definedName name="BasisForPreparation">'General Information'!$E$32</definedName>
    <definedName name="BasisForReporting">'General Information'!$E$42</definedName>
    <definedName name="BreakdownOfAnnualMassFlowOfRelevantMaterialsUsedByTheUndertakingHypercube">'Environmental Disclosures'!$C$216:$I$230</definedName>
    <definedName name="BreakdownOfEnergyConsumptionAxis">'Environmental Disclosures'!$C$12:$F$14</definedName>
    <definedName name="BreakdownOfEnergyConsumptionTable">'Environmental Disclosures'!$G$12:$K$14</definedName>
    <definedName name="CityOfSite">'General Information'!$F$108:$F$132</definedName>
    <definedName name="CountryOfEmploymentContractAxis">'Social Disclosures'!$C$28:$D$37</definedName>
    <definedName name="CountryOfPrimaryOperationsAndLocationOfSignificantAssets">'General Information'!$E$65</definedName>
    <definedName name="CountryOfSite">'General Information'!$G$108:$G$132</definedName>
    <definedName name="DateOfAdoptionOfTransitionPlanForUndertakingNotHavingAdoptedTransitionPlanYet">'Environmental Disclosures'!$D$62</definedName>
    <definedName name="DescriptionOfActionsTakeToAddressTheConfirmedIncidents">'Social Disclosures'!$D$101</definedName>
    <definedName name="DescriptionOfATargetRelatedToAPolicy">'General Information'!$E$149</definedName>
    <definedName name="DescriptionOfATransitionPlanForClimateChangeMitigationIncludingAnExplanationOfHowItIsContributingToReduceGhgEmissions">'Environmental Disclosures'!$D$58</definedName>
    <definedName name="DescriptionOfClimateRelatedHazardsAndClimateRelatedTransitionEvents">'Environmental Disclosures'!$E$236</definedName>
    <definedName name="DescriptionOfHowCircularEconomyPrinciplesAreApplied">'Environmental Disclosures'!$D$183</definedName>
    <definedName name="DescriptionOfKeyElementsOfStrategyThatRelatesToOrAffectsSustainabilityIssues">'General Information'!$E$160</definedName>
    <definedName name="DescriptionOfLimitsToTheDistributionOfProfitsConnectedToTheMutualisticNatureOrToTheNatureOfTheActivitiesConsistingInServicesOfGeneralEconomicInterestSGEI">'General Information'!$D$145</definedName>
    <definedName name="DescriptionOfMainBusinessRelationships">'General Information'!$E$156</definedName>
    <definedName name="DescriptionOfPracticesPoliciesAndOrFutureInitiatives">'General Information'!$E$148</definedName>
    <definedName name="DescriptionOfSignificantGroupsOfProductsAndOrServicesOffered">'General Information'!$E$154</definedName>
    <definedName name="DescriptionOfSignificantMarketsTheUndertakingOperatesIn">'General Information'!$E$155</definedName>
    <definedName name="DescriptionOfSustainabilityRelatedCertificationsOrLabels">'General Information'!$E$100</definedName>
    <definedName name="DescriptionOfTheEffectiveParticipationOfWorkersUsersOrOtherinterestedPartiesOrCommunitiesInGovernance">'General Information'!$D$143</definedName>
    <definedName name="DisclosureOfAnyOtherEnvironmentalAndOrEntitySpecificEnvironmentalDisclosures">'Environmental Disclosures'!$C$244</definedName>
    <definedName name="DisclosureOfAnyOtherGeneralAndOrEntitySpecificInformation">'General Information'!$C$164</definedName>
    <definedName name="DisclosureOfAnyOtherGovernanceAndOrEntitySpecificGovernanceDisclosures">'Governance Disclosures'!$C$38</definedName>
    <definedName name="DisclosureOfAnyOtherSocialAndOrEntitySpecificSocialDisclosures">'Social Disclosures'!$C$109</definedName>
    <definedName name="DisclosureOfHowItHasAssessedTheExposureAndSensitivityOfItsAssetsActivitiesAndValueChainToTheseHazardsAndTransitionEvents">'Environmental Disclosures'!$E$237</definedName>
    <definedName name="DisclosureOfListOfMainActionsTheEntitySeeksInOrderToAchieveItsTargets">'Environmental Disclosures'!$C$52</definedName>
    <definedName name="DisclosureOfWhetherItHasUndertakenClimateChangeAdaptationActionsForAnyClimateRelatedHazardsAndTransitionEvents">'Environmental Disclosures'!$E$239</definedName>
    <definedName name="EmployeeCountingMethodology">'General Information'!$E$63</definedName>
    <definedName name="EmployeesReceivePayEqualOrAboveMinimumWageDeterminedByNationalLawOrCollectiveAgreement">'Social Disclosures'!$D$56</definedName>
    <definedName name="EmployeeTurnoverRate">'Social Disclosures'!$D$46</definedName>
    <definedName name="EnergyConsumptionFromElectricity_NonRenewableEnergyMember">'Environmental Disclosures'!$J$12</definedName>
    <definedName name="EnergyConsumptionFromElectricity_RenewableEnergyMember">'Environmental Disclosures'!$G$12</definedName>
    <definedName name="EnergyConsumptionFromElectricity_TotalRenewableAndNonRenewableEnergyMember">'Environmental Disclosures'!$K$12</definedName>
    <definedName name="EnergyConsumptionFromFuels_NonRenewableEnergyMember">'Environmental Disclosures'!$J$14</definedName>
    <definedName name="EnergyConsumptionFromFuels_RenewableEnergyMember">'Environmental Disclosures'!$G$14</definedName>
    <definedName name="EnergyConsumptionFromFuels_TotalRenewableAndNonRenewableEnergyMember">'Environmental Disclosures'!$K$14</definedName>
    <definedName name="EnergyConsumptionFromSelfGeneratedElectricity_NonRenewableEnergyMember">'Environmental Disclosures'!$J$13</definedName>
    <definedName name="EnergyConsumptionFromSelfGeneratedElectricity_RenewableEnergyMember">'Environmental Disclosures'!$G$13</definedName>
    <definedName name="EnergyConsumptionFromSelfGeneratedElectricity_TotalRenewableAndNonRenewableEnergyMember">'Environmental Disclosures'!$K$13</definedName>
    <definedName name="enum_B2">'Enumeration Lists'!$R$2:$R$4</definedName>
    <definedName name="enum_employee_methodology">'Enumeration Lists'!$AB$2:$AB$3</definedName>
    <definedName name="enum_ImplementationStatus">'Enumeration Lists'!$U$2:$U$3</definedName>
    <definedName name="enum_ListBiodiversityArea">'Enumeration Lists'!$J$2:$J$3</definedName>
    <definedName name="enum_ListCountiesCode">'Enumeration Lists'!$G$2:$G$257</definedName>
    <definedName name="enum_ListCountriesName">'Enumeration Lists'!$E$2:$E$257</definedName>
    <definedName name="enum_ListDays">'Enumeration Lists'!$AC$2:$AC$32</definedName>
    <definedName name="enum_ListDensity">'Fuel Conversion Parameters'!$K$2:$K$9</definedName>
    <definedName name="enum_ListEnergy">'Fuel Conversion Parameters'!$I$2:$I$3</definedName>
    <definedName name="enum_ListFuel">'Fuel Conversion Parameters'!$A$2:$A$61</definedName>
    <definedName name="enum_ListHectM2">'Enumeration Lists'!$P$2:$P$3</definedName>
    <definedName name="enum_ListIdentifier">'Enumeration Lists'!$AD$2:$AD$5</definedName>
    <definedName name="enum_ListLegalForms">'Enumeration Lists'!$L$2:$L$6</definedName>
    <definedName name="enum_ListMass">'Fuel Conversion Parameters'!$G$2:$G$5</definedName>
    <definedName name="enum_ListMediumOfRelease">'Enumeration Lists'!$N$2:$N$4</definedName>
    <definedName name="enum_ListMonth">'Enumeration Lists'!$T$2:$T$13</definedName>
    <definedName name="enum_ListNACECategories">'Enumeration Lists'!$C$2:$C$399</definedName>
    <definedName name="enum_ListNACECode">'Enumeration Lists'!$A$3:$A$1049</definedName>
    <definedName name="enum_ListNACETechnicalName">'Enumeration Lists'!$D$3:$D$1049</definedName>
    <definedName name="enum_ListNCV">'Fuel Conversion Parameters'!$U$2:$U$13</definedName>
    <definedName name="enum_ListOfCurrencies">'Enumeration Lists'!$AA$2:$AA$170</definedName>
    <definedName name="enum_ListOfFutureYears">'Enumeration Lists'!$S$26:$S$102</definedName>
    <definedName name="enum_ListOfPastYears">'Enumeration Lists'!$S$2:$S$26</definedName>
    <definedName name="enum_ListOmittedDisclosures">'Enumeration Lists'!$V$2:$V$21</definedName>
    <definedName name="enum_ListOmittedDisclosuresWithNone">'Enumeration Lists'!$H$2:$H$22</definedName>
    <definedName name="enum_ListPollutants">'Enumeration Lists'!$I$2:$I$95</definedName>
    <definedName name="enum_ListRenewabilityState">'Fuel Conversion Parameters'!$AX$2:$AX$4</definedName>
    <definedName name="enum_ListStateOfMatter">'Fuel Conversion Parameters'!$AW$2:$AW$5</definedName>
    <definedName name="enum_ListSustainabilityIssues">'Enumeration Lists'!$O$2:$O$12</definedName>
    <definedName name="enum_ListTypeOfWastes">'Enumeration Lists'!$K$2:$K$820</definedName>
    <definedName name="enum_ListUnitMeasurement">'Enumeration Lists'!$M$2:$M$4</definedName>
    <definedName name="enum_ListUnitMeasurement_mass_only">'Enumeration Lists'!$Y$2:$Y$3</definedName>
    <definedName name="enum_ListVolume">'Fuel Conversion Parameters'!$H$2:$H$3</definedName>
    <definedName name="enum_ListVolumeMass">'Fuel Conversion Parameters'!$J$2:$J$7</definedName>
    <definedName name="enum_ListWasteCategories">'Enumeration Lists'!$Z$2:$Z$133</definedName>
    <definedName name="enum_ListYear">'Enumeration Lists'!$S$2:$S$102</definedName>
    <definedName name="enum_ListYesNo">'Enumeration Lists'!$Q$2:$Q$3</definedName>
    <definedName name="FemaleToMaleRatioAtManagementLevelForTheReportingPeriod">'Social Disclosures'!$D$76</definedName>
    <definedName name="FinancialInvestmentInTheCapitalOrAssetsOfSocialEconomyEntities">'General Information'!$D$144</definedName>
    <definedName name="GenderDiversityRatioInGovernanceBody">'Governance Disclosures'!$H$33</definedName>
    <definedName name="GPSLocationOfSite">'General Information'!$H$108:$H$132</definedName>
    <definedName name="GreenhouseGasEmissionReductionTargetBaseYear">'Environmental Disclosures'!$G$21</definedName>
    <definedName name="GreenhouseGasEmissionReductionTargetYear">'Environmental Disclosures'!$J$21</definedName>
    <definedName name="GrossLocationBasedScope2GreenhouseGasEmissions">'Environmental Disclosures'!$D$23</definedName>
    <definedName name="GrossLocationBasedScope2GreenhouseGasEmissions_BaselineYearMember">'Environmental Disclosures'!$G$23</definedName>
    <definedName name="GrossLocationBasedScope2GreenhouseGasEmissions_TargetYearMember">'Environmental Disclosures'!$J$23</definedName>
    <definedName name="GrossMarketBasedScope2GreenhouseGasEmissions">'Environmental Disclosures'!$D$24</definedName>
    <definedName name="GrossMarketBasedScope2GreenhouseGasEmissions_BaselineYearMember">'Environmental Disclosures'!$G$24</definedName>
    <definedName name="GrossMarketBasedScope2GreenhouseGasEmissions_TargetYearMember">'Environmental Disclosures'!$J$24</definedName>
    <definedName name="GrossScope1GreenhouseGasEmissions">'Environmental Disclosures'!$D$22</definedName>
    <definedName name="GrossScope1GreenhouseGasEmissions_BaselineYearMember">'Environmental Disclosures'!$G$22</definedName>
    <definedName name="GrossScope1GreenhouseGasEmissions_TargetYearMember">'Environmental Disclosures'!$J$22</definedName>
    <definedName name="GrossScope3GreenhouseGasEmissions_BaselineYearMember">'Environmental Disclosures'!$G$45</definedName>
    <definedName name="GrossScope3GreenhouseGasEmissions_CurrentlyStatedMember">'Environmental Disclosures'!$D$45</definedName>
    <definedName name="GrossScope3GreenhouseGasEmissions_TargetYearMember">'Environmental Disclosures'!$J$45</definedName>
    <definedName name="IdentifierOfMaterialTypedAxis">'Environmental Disclosures'!$C$216:$C$230</definedName>
    <definedName name="IdentifierOfSitesInBiodiversitySensitiveAreasTypedAxis">'Environmental Disclosures'!$C$128:$C$153</definedName>
    <definedName name="IdentifierOfSiteTypedAxis">'General Information'!$C$108:$C$132</definedName>
    <definedName name="IdentifierOfSubsidiaryTypedAxis">'General Information'!$C$70:$C$94</definedName>
    <definedName name="LinkToPreviousReportContainingDisclosuresThatRemainUnchanged">'General Information'!$E$29</definedName>
    <definedName name="ListOfDisclosuresForWhichNoChangesAreReportedComparedToThePreviousPeriodReporting">'General Information'!$E$19:$E$28</definedName>
    <definedName name="ListOfOmittedDisclosuresDeemedToBeClassifiedOrSensitiveInformation">'General Information'!$E$33:$E$41</definedName>
    <definedName name="ListOfSitesTable">'General Information'!$C$108:$H$132</definedName>
    <definedName name="ListOfSubsidiaryTable">'General Information'!$C$70:$E$94</definedName>
    <definedName name="MostSeniorLevelAccountableForImplementationOfPracticesPoliciesAndOrFutureInitiatives">'General Information'!$E$150</definedName>
    <definedName name="NaceSectorClassificationCodes">'General Information'!$E$45:$E$59</definedName>
    <definedName name="NameOfMaterialUsed">'Environmental Disclosures'!$D$216:$F$230</definedName>
    <definedName name="NameOfTheSubsidiary">'General Information'!$D$70:$D$94</definedName>
    <definedName name="NumberOfEmployees">'General Information'!$E$62</definedName>
    <definedName name="NumberOfEmployeesForCountryOfEmploymentContract">'Social Disclosures'!$E$28:$H$37</definedName>
    <definedName name="NumberOfEmployeesForCountryOfEmploymentContractTable">'Social Disclosures'!$C$28:$H$37</definedName>
    <definedName name="NumberOfFatalitiesAsAResultOfWorkRelatedInjuriesAndWorkRelatedIllHealth">'Social Disclosures'!$D$53</definedName>
    <definedName name="NumberOfFemaleEmployees">'Social Disclosures'!$D$19</definedName>
    <definedName name="NumberOfMaleEmployees">'Social Disclosures'!$D$18</definedName>
    <definedName name="NumberOfNonReportedGenderEmployees">'Social Disclosures'!$D$21</definedName>
    <definedName name="NumberOfOtherGenderEmployees">'Social Disclosures'!$D$20</definedName>
    <definedName name="NumberOfPermanentContactEmployees">'Social Disclosures'!$D$10</definedName>
    <definedName name="NumberOfRecordableWorkRelatedAccidentsInTheReportingPeriod">'Social Disclosures'!$D$49</definedName>
    <definedName name="NumberOfTemporaryContractEmployees">'Social Disclosures'!$D$11</definedName>
    <definedName name="OtherUndertakingsLegalForm">'General Information'!$E$44</definedName>
    <definedName name="PercentageGapInPayBetweenFemaleAndMaleEmployees">'Social Disclosures'!$D$59</definedName>
    <definedName name="PercentageOfEmployeesCoveredByCollectiveBargainingAgreements">'Social Disclosures'!$D$61</definedName>
    <definedName name="PostalCodeOfSite">'General Information'!$E$108:$E$132</definedName>
    <definedName name="PotentialAdverseEffectsOfClimateRisksThatMayAffectItsFinancialPerformanceOrBusinessOperationsInTheShortMediumOrLongTermIndicatingWhetherItAssessesTheRisksToBeHighMediumOrLow">'Environmental Disclosures'!$E$240</definedName>
    <definedName name="PracticePolicyAndOrFutureInitiativeIsPubliclyAvailable">'General Information'!$N$139</definedName>
    <definedName name="PubliclyAvailableDisclosure">'Environmental Disclosures'!$G$75</definedName>
    <definedName name="RateOfRecordableWorkRelatedAccidentsInTheReportingPeriod">'Social Disclosures'!$D$52</definedName>
    <definedName name="RegisteredAddressOfTheSubsidiary">'General Information'!$E$70:$E$94</definedName>
    <definedName name="ReportContainsDisclosuresFromThePreviousReportingPeriodThatRemainUnchanged">'General Information'!$E$18</definedName>
    <definedName name="RevenueDerivedFromChemicalProduction">'Governance Disclosures'!$H$18</definedName>
    <definedName name="RevenueDerivedFromCoal">'Governance Disclosures'!$H$14</definedName>
    <definedName name="RevenueDerivedFromControversialWeaponsAntiPersonnelMinesClusterMunitionsChemicalWeaponsAndBiologicalWeapons">'Governance Disclosures'!$H$12</definedName>
    <definedName name="RevenueDerivedFromCultivationAndProductionOfTobacco">'Governance Disclosures'!$H$13</definedName>
    <definedName name="RevenueDerivedFromGas">'Governance Disclosures'!$H$16</definedName>
    <definedName name="RevenueDerivedFromOil">'Governance Disclosures'!$H$15</definedName>
    <definedName name="Scope1AndScope2GreenhouseGasEmissionsIntensityValueLocationBased">'Environmental Disclosures'!$G$66</definedName>
    <definedName name="Scope1AndScope2GreenhouseGasEmissionsIntensityValueMarketBased">'Environmental Disclosures'!$G$67</definedName>
    <definedName name="SiteLocatedInABiodiversitySensitiveArea">'Environmental Disclosures'!$J$128:$J$153</definedName>
    <definedName name="SiteLocatedNearABiodiversitySensitiveArea">'Environmental Disclosures'!$K$128:$K$153</definedName>
    <definedName name="SitesInBiodiversitySensitiveAreasTable">'Environmental Disclosures'!$C$128:$K$153</definedName>
    <definedName name="SpecificationOfAnyConfirmedIncidentInvolvingWorkersInTheValueChainAffectedCommunitiesConsumersAndEndUsers">'Social Disclosures'!$D$103</definedName>
    <definedName name="SpecificationOfOtherHumanRightsRelatedToTheConfirmedIncident">'Social Disclosures'!$D$100</definedName>
    <definedName name="SpecificationOfOtherTypesOfContentCoveredByTheCodeOfConductOrHumanRightsPolicy">'Social Disclosures'!$D$89</definedName>
    <definedName name="SustainabilityIssueAddressedByPracticePolicyAndOrFutureInitiative">'General Information'!$D$139:$M$139</definedName>
    <definedName name="TargetYearMember">'Environmental Disclosures'!$J$21</definedName>
    <definedName name="template_b1_basis_for_preparation_and_other_undertakings_general_information">'General Information'!$C$31</definedName>
    <definedName name="template_b1_disclosure_of_sustainability_related_certifications_or_labels">'General Information'!$C$96</definedName>
    <definedName name="template_b1_list_of_sites">'General Information'!$C$102</definedName>
    <definedName name="template_b1_list_of_subsidiaries">'General Information'!$C$67</definedName>
    <definedName name="template_b10_workforce_remuneration_collective_bargaining_and_training">'Social Disclosures'!$C$55</definedName>
    <definedName name="template_b11_convictions_and_fines_for_corruption_and_bribery">'Governance Disclosures'!$C$2</definedName>
    <definedName name="template_b2_cooperative_specific_disclosures">'General Information'!$C$141</definedName>
    <definedName name="template_b2_practices_policies_and_future_initiatives_for_transitioning_towards_a_more_sustainable_economy">'General Information'!$C$134</definedName>
    <definedName name="template_b3_breakdown_of_energy_consumption_in_MWh">'Environmental Disclosures'!$C$7</definedName>
    <definedName name="template_b3_estimated_greenhouse_gas_emissions_considering_the_GHG_protocol_version_2004_in_tCO2e">'Environmental Disclosures'!$C$16</definedName>
    <definedName name="template_b3_greenhouse_gas_emission_intensity_per_turnover">'Environmental Disclosures'!$C$64</definedName>
    <definedName name="template_b3_total_energy_consumption_in_MWh">'Environmental Disclosures'!$C$2</definedName>
    <definedName name="template_b4_pollution_of_air_water_and_soil">'Environmental Disclosures'!$C$71</definedName>
    <definedName name="template_b5_biodiversity_land_use">'Environmental Disclosures'!$C$155</definedName>
    <definedName name="template_b5_sites_in_biodiversity_sensitive_areas">'Environmental Disclosures'!$C$121</definedName>
    <definedName name="template_b6_water_consumption">'Environmental Disclosures'!$C$172</definedName>
    <definedName name="template_b6_water_withdrawal">'Environmental Disclosures'!$C$166</definedName>
    <definedName name="template_b7_annual_mass_flow_of_relevant_materials_used">'Environmental Disclosures'!$C$211</definedName>
    <definedName name="template_b7_description_of_circular_economy_principles">'Environmental Disclosures'!$C$179</definedName>
    <definedName name="template_b7_waste_generated">'Environmental Disclosures'!$C$185</definedName>
    <definedName name="template_b8_workforce_general_characteristics_country_of_employment">'Social Disclosures'!$C$24</definedName>
    <definedName name="template_b8_workforce_general_characteristics_gender">'Social Disclosures'!$C$14</definedName>
    <definedName name="template_b8_workforce_general_characteristics_turnover_rate">'Social Disclosures'!$C$40</definedName>
    <definedName name="template_b8_workforce_general_characteristics_type_of_contract">'Social Disclosures'!$C$6</definedName>
    <definedName name="template_b9_workforce_health_and_safety">'Social Disclosures'!$C$48</definedName>
    <definedName name="template_c1_strategy_business_model_and_sustainability">'General Information'!$C$153</definedName>
    <definedName name="template_c2_description_of_practices_policies_and_future_initiatives_for_transitioning_towards_a_more_sustainable_economy">'General Information'!$C$147</definedName>
    <definedName name="template_c3_disclosure_of_list_of_main_actions_the_entity_seeks_in_order_to_achieve_its_targets">'Environmental Disclosures'!$C$49</definedName>
    <definedName name="template_c3_GHG_reduction_targets_in_tC02e">'Environmental Disclosures'!$G$16</definedName>
    <definedName name="template_c3_transition_plan_for_undertakings_operating_in_high_climate_impact_sectors">'Environmental Disclosures'!$C$55</definedName>
    <definedName name="template_c4_climate_risks">'Environmental Disclosures'!$C$234</definedName>
    <definedName name="template_c5_additional_general_workforce_characteristics">'Social Disclosures'!$C$73</definedName>
    <definedName name="template_c6_additional_own_workforce_information_human_rights_policies_and_processes">'Social Disclosures'!$C$80</definedName>
    <definedName name="template_c7_severe_negative_human_rights_incidents">'Social Disclosures'!$C$92</definedName>
    <definedName name="template_c8_exclusion_from_EU_reference_benchmarks">'Governance Disclosures'!$C$20</definedName>
    <definedName name="template_c8_revenues_from_certain_sectors">'Governance Disclosures'!$C$9</definedName>
    <definedName name="template_c9_gender_diversity_ratio_in_the_governance_body">'Governance Disclosures'!$C$29</definedName>
    <definedName name="template_currency">'General Information'!$D$5</definedName>
    <definedName name="template_disclosure_of_any_other_environmental_and_or_entity_specific_enviromental_disclosures">'Environmental Disclosures'!$C$242</definedName>
    <definedName name="template_disclosure_of_any_other_general_and_or_entity_specific_information_on_the_reporting_period">'General Information'!$C$162</definedName>
    <definedName name="template_disclosure_of_any_other_governance_and_or_entity_specific_governance_disclosures">'Governance Disclosures'!$C$36</definedName>
    <definedName name="template_disclosure_of_any_other_social_and_or_entity_specific_social_disclosures">'Social Disclosures'!$C$107</definedName>
    <definedName name="template_ending_date_display">'Technical Sheet'!$B$2</definedName>
    <definedName name="template_FUEL_CONVERTER">'Fuel Converter'!$A$1</definedName>
    <definedName name="template_further_notes">'Fuel Converter'!$A$36</definedName>
    <definedName name="template_information_on_previous_reporting_period">'General Information'!$C$16</definedName>
    <definedName name="template_information_on_the_report_necessary_for_XBRL">'General Information'!$C$2</definedName>
    <definedName name="template_overall_validation_status">'Table of Contents &amp; Validation'!$C$3</definedName>
    <definedName name="template_reporting_entity_identifier">'General Information'!$E$4</definedName>
    <definedName name="template_reporting_entity_identifier_scheme">'General Information'!$D$4</definedName>
    <definedName name="template_reporting_entity_name">'General Information'!$D$3:$E$3</definedName>
    <definedName name="template_reporting_period_display">'Technical Sheet'!$B$1</definedName>
    <definedName name="template_reporting_period_enddate">'General Information'!$D$13</definedName>
    <definedName name="template_reporting_period_startdate">'General Information'!$D$9</definedName>
    <definedName name="template_reporting_schemaRef">Introduction!$C$9</definedName>
    <definedName name="template_reporting_template_version">Introduction!$C$1</definedName>
    <definedName name="TimeHorizonsOfAnyClimateRelatedHazardsAndTransitionEventsIdentified">'Environmental Disclosures'!$E$238</definedName>
    <definedName name="TotalAmountOfFinesForTheViolationOfAnticorruptionAndAntibriberyLaws">'Governance Disclosures'!$H$7</definedName>
    <definedName name="TotalAmountOfWaterWithdrawnFromAllSites">'Environmental Disclosures'!$D$169</definedName>
    <definedName name="TotalEnergyConsumption">'Environmental Disclosures'!$G$5</definedName>
    <definedName name="TotalGrossLocationBasedGHGEmissions_BaselineYearMember">'Environmental Disclosures'!$G$46</definedName>
    <definedName name="TotalGrossLocationBasedGHGEmissions_CurrentlyStatedMember">'Environmental Disclosures'!$D$46</definedName>
    <definedName name="TotalGrossLocationBasedGHGEmissions_TargetYearMember">'Environmental Disclosures'!$J$46</definedName>
    <definedName name="TotalGrossLocationBasedScope1AndScope2GHGEmissions">'Environmental Disclosures'!$D$25</definedName>
    <definedName name="TotalGrossLocationBasedScope1AndScope2GHGEmissions_BaselineYearMember">'Environmental Disclosures'!$G$25</definedName>
    <definedName name="TotalGrossLocationBasedScope1AndScope2GHGEmissions_TargetYearMember">'Environmental Disclosures'!$J$25</definedName>
    <definedName name="TotalGrossMarketBasedGHGEmissions_BaselineYearMember">'Environmental Disclosures'!$G$47</definedName>
    <definedName name="TotalGrossMarketBasedGHGEmissions_CurrentlyStatedMember">'Environmental Disclosures'!$D$47</definedName>
    <definedName name="TotalGrossMarketBasedGHGEmissions_TargetYearMember">'Environmental Disclosures'!$J$47</definedName>
    <definedName name="TotalGrossMarketBasedScope1AndScope2GHGEmissions">'Environmental Disclosures'!$D$26</definedName>
    <definedName name="TotalGrossMarketBasedScope1AndScope2GHGEmissions_BaselineYearMember">'Environmental Disclosures'!$G$26</definedName>
    <definedName name="TotalGrossMarketBasedScope1AndScope2GHGEmissions_TargetYearMember">'Environmental Disclosures'!$J$26</definedName>
    <definedName name="TotalHazardousWasteGeneratedMass">'Environmental Disclosures'!$J$204:$L$204</definedName>
    <definedName name="TotalHazardousWasteGeneratedMass_unit">'Environmental Disclosures'!$G$204:$I$204</definedName>
    <definedName name="TotalHazardousWasteGeneratedVolume">'Environmental Disclosures'!$J$207:$L$207</definedName>
    <definedName name="TotalHazardousWasteGeneratedVolume_unit">'Environmental Disclosures'!$G$207:$I$207</definedName>
    <definedName name="TotalLocationBasedGreenhouseGasEmissionsIntensityValue">'Environmental Disclosures'!$G$68</definedName>
    <definedName name="TotalMarketBasedGreenhouseGasEmissionsIntensityValue">'Environmental Disclosures'!$G$69</definedName>
    <definedName name="TotalMassOfMaterialUsed">'Environmental Disclosures'!$G$231</definedName>
    <definedName name="TotalMassOfMaterialUsed_unit">'Environmental Disclosures'!$J$231</definedName>
    <definedName name="TotalNatureOrientedAreaOffSite">'Environmental Disclosures'!$D$163:$F$163</definedName>
    <definedName name="TotalNatureOrientedAreaOffSite_unit">'Environmental Disclosures'!$C$159</definedName>
    <definedName name="TotalNatureOrientedAreaOnSite">'Environmental Disclosures'!$D$162:$F$162</definedName>
    <definedName name="TotalNatureOrientedAreaOnSite_unit">'Environmental Disclosures'!$C$159</definedName>
    <definedName name="TotalNonHazardousWasteGeneratedMass">'Environmental Disclosures'!$J$205:$L$205</definedName>
    <definedName name="TotalNonHazardousWasteGeneratedMass_unit">'Environmental Disclosures'!$G$205:$I$205</definedName>
    <definedName name="TotalNonHazardousWasteGeneratedVolume">'Environmental Disclosures'!$J$208:$L$208</definedName>
    <definedName name="TotalNonHazardousWasteGeneratedVolume_unit">'Environmental Disclosures'!$G$208:$I$208</definedName>
    <definedName name="TotalNumberOfConvictionsForTheViolationOfAntiCorruptionAndAntiBriberyLaws">'Governance Disclosures'!$H$6</definedName>
    <definedName name="TotalNumberOfSelfEmployedWorkersWithoutPersonnelThatAreWorkingExclusivelyForTheUndertaking">'Social Disclosures'!$D$77</definedName>
    <definedName name="TotalNumberOfTemporaryWorkersProvidedByUndertakingsPrimarilyEngagedInEmploymentActivities">'Social Disclosures'!$D$78</definedName>
    <definedName name="TotalRevenuesDerivedFromFossilFuelCoalOilAndGasSector">'Governance Disclosures'!$H$17</definedName>
    <definedName name="TotalSealedArea">'Environmental Disclosures'!$D$161:$F$161</definedName>
    <definedName name="TotalSealedArea_unit">'Environmental Disclosures'!$C$159</definedName>
    <definedName name="TotalUseOfLand">'Environmental Disclosures'!$D$164:$F$164</definedName>
    <definedName name="TotalUseOfLand_unit">'Environmental Disclosures'!$C$159</definedName>
    <definedName name="TotalVolumeOfMaterialUsed">'Environmental Disclosures'!$G$232</definedName>
    <definedName name="TotalVolumeOfMaterialUsed_unit">'Environmental Disclosures'!$J$232</definedName>
    <definedName name="TotalWasteGeneratedMass">'Environmental Disclosures'!$J$206:$L$206</definedName>
    <definedName name="TotalWasteGeneratedMass_unit">'Environmental Disclosures'!$G$206:$I$206</definedName>
    <definedName name="TotalWasteGeneratedVolume">'Environmental Disclosures'!$J$209:$L$209</definedName>
    <definedName name="TotalWasteGeneratedVolume_unit">'Environmental Disclosures'!$G$209:$I$209</definedName>
    <definedName name="TotalWasteRecycledReusedAndDirectedToDisposalMass">'Environmental Disclosures'!$L$189:$L$203</definedName>
    <definedName name="TotalWasteRecycledReusedAndDirectedToDisposalMass_unit">'Environmental Disclosures'!$G$189:$I$203</definedName>
    <definedName name="TotalWasteRecycledReusedAndDirectedToDisposalVolume">'Environmental Disclosures'!$L$189:$L$203</definedName>
    <definedName name="TotalWasteRecycledReusedAndDirectedToDisposalVolume_unit">'Environmental Disclosures'!$G$189:$I$203</definedName>
    <definedName name="TotalWaterConsumption">'Environmental Disclosures'!$D$177</definedName>
    <definedName name="Turnover">'General Information'!$E$61</definedName>
    <definedName name="TypeOfContentCoveredByTheCodeOfConductOrHumanRightsPolicyForItsOwnWorkforce">'Social Disclosures'!$D$83:$H$88</definedName>
    <definedName name="TypeOfHumanRightRelatedToTheConfirmedIncident">'Social Disclosures'!$D$95:$H$99</definedName>
    <definedName name="TypeOfNumberOfEmployees">'General Information'!$E$64</definedName>
    <definedName name="TypeOfPollutantAxis">'Environmental Disclosures'!$D$80:$F$119</definedName>
    <definedName name="TypeOfWasteAxis">'Environmental Disclosures'!$D$189:$F$203</definedName>
    <definedName name="UndertakingAppliesCircularEconomyPrinciples">'Environmental Disclosures'!$D$182</definedName>
    <definedName name="UndertakingHasACodeOfConductOrHumanRightsPolicyForItsOwnWorkforce">'Social Disclosures'!$D$81</definedName>
    <definedName name="UndertakingHasAComplaintHandlingMechanismForItsOwnWorkforce">'Social Disclosures'!$D$90</definedName>
    <definedName name="UndertakingHasConfirmedHumanRightsIncidentsInItsOwnWorkforce">'Social Disclosures'!$D$93</definedName>
    <definedName name="UndertakingHasSetATargetWhichIsRelatedToAPolicy">'General Information'!$O$139</definedName>
    <definedName name="UndertakingIsAwareOfAnyConfirmedIncidentsInvolvingWorkersInTheValueChainAffectedCommunitiesConsumersAndEndUsers">'Social Disclosures'!$D$102</definedName>
    <definedName name="UndertakingsAreExcludedFromAnyEuReferenceBenchmarksThatAreAlignedWithTheParisAgreement">'Governance Disclosures'!$H$27</definedName>
    <definedName name="UndertakingsLegalForm">'General Information'!$E$43</definedName>
    <definedName name="URLOrLinkToThePubliclyAvailableDisclosure">'Environmental Disclosures'!$G$76</definedName>
    <definedName name="VolumeOfMaterialUsed">'Environmental Disclosures'!$G$216:$I$230</definedName>
    <definedName name="VolumeOfMaterialUsed_unit">'Environmental Disclosures'!$J$216:$J$230</definedName>
    <definedName name="WasteDirectedToDisposalMass">'Environmental Disclosures'!$K$189:$K$203</definedName>
    <definedName name="WasteDirectedToDisposalMass_unit">'Environmental Disclosures'!$G$189:$I$203</definedName>
    <definedName name="WasteDirectedToDisposalVolume">'Environmental Disclosures'!$K$189:$K$203</definedName>
    <definedName name="WasteDirectedToDisposalVolume_unit">'Environmental Disclosures'!$G$189:$I$203</definedName>
    <definedName name="WasteDivertedToRecycleOrReuseMass">'Environmental Disclosures'!$J$189:$J$203</definedName>
    <definedName name="WasteDivertedToRecycleOrReuseMass_unit">'Environmental Disclosures'!$G$189:$I$203</definedName>
    <definedName name="WasteDivertedToRecycleOrReuseVolume">'Environmental Disclosures'!$J$189:$J$203</definedName>
    <definedName name="WasteDivertedToRecycleOrReuseVolume_unit">'Environmental Disclosures'!$G$189:$I$203</definedName>
    <definedName name="WasteTable">'Environmental Disclosures'!$D$189:$L$203</definedName>
    <definedName name="WaterDischargeFromUndertakingProductionProcesses">'Environmental Disclosures'!$D$176</definedName>
    <definedName name="WeightOfMaterialUsed">'Environmental Disclosures'!$G$216:$I$230</definedName>
    <definedName name="WeightOfMaterialUsed_unit">'Environmental Disclosures'!$J$216:$J$230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C58" i="12" l="1"/>
  <c r="C57" i="12"/>
  <c r="D9" i="3"/>
  <c r="D62" i="1"/>
  <c r="D13" i="3"/>
  <c r="D21" i="1" l="1"/>
  <c r="L59" i="1"/>
  <c r="F10" i="3" l="1"/>
  <c r="F6" i="3" s="1"/>
  <c r="L80" i="1"/>
  <c r="I29" i="12"/>
  <c r="I30" i="12"/>
  <c r="I31" i="12"/>
  <c r="I32" i="12"/>
  <c r="I33" i="12"/>
  <c r="I34" i="12"/>
  <c r="I35" i="12"/>
  <c r="I36" i="12"/>
  <c r="I37" i="12"/>
  <c r="I28" i="12"/>
  <c r="J47" i="1"/>
  <c r="G47" i="1"/>
  <c r="D51" i="12"/>
  <c r="D52" i="12" s="1"/>
  <c r="L30" i="1" a="1"/>
  <c r="L30" i="1" s="1"/>
  <c r="K31" i="1"/>
  <c r="K32" i="1"/>
  <c r="K33" i="1"/>
  <c r="K34" i="1"/>
  <c r="K35" i="1"/>
  <c r="K36" i="1"/>
  <c r="K37" i="1"/>
  <c r="K38" i="1"/>
  <c r="K39" i="1"/>
  <c r="K40" i="1"/>
  <c r="K41" i="1"/>
  <c r="K42" i="1"/>
  <c r="K43" i="1"/>
  <c r="K44" i="1"/>
  <c r="K30" i="1"/>
  <c r="F29" i="3" l="1"/>
  <c r="I12" i="7"/>
  <c r="L78" i="1" a="1"/>
  <c r="L78" i="1" s="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81" i="1"/>
  <c r="I45" i="12"/>
  <c r="I44" i="12"/>
  <c r="I43" i="12"/>
  <c r="F21" i="3"/>
  <c r="F22" i="3"/>
  <c r="F23" i="3"/>
  <c r="F24" i="3"/>
  <c r="F25" i="3"/>
  <c r="F26" i="3"/>
  <c r="F27" i="3"/>
  <c r="F28" i="3"/>
  <c r="F20" i="3"/>
  <c r="L24" i="1"/>
  <c r="L23" i="1"/>
  <c r="L22" i="1"/>
  <c r="L21" i="1"/>
  <c r="G25" i="1"/>
  <c r="J25" i="1"/>
  <c r="L76" i="1"/>
  <c r="F35" i="3"/>
  <c r="F36" i="3"/>
  <c r="F37" i="3"/>
  <c r="F38" i="3"/>
  <c r="F39" i="3"/>
  <c r="F40" i="3"/>
  <c r="F41" i="3"/>
  <c r="F34" i="3"/>
  <c r="G231" i="1"/>
  <c r="I95" i="12" a="1"/>
  <c r="I95" i="12" s="1"/>
  <c r="C71" i="12"/>
  <c r="I83" i="12" a="1"/>
  <c r="I83" i="12" s="1"/>
  <c r="E144" i="3"/>
  <c r="E145" i="3"/>
  <c r="E143" i="3"/>
  <c r="L5" i="1"/>
  <c r="C20" i="16" s="1"/>
  <c r="C24" i="12"/>
  <c r="C14" i="12"/>
  <c r="C6" i="12"/>
  <c r="F3" i="3" l="1"/>
  <c r="F5" i="3"/>
  <c r="F4" i="3"/>
  <c r="C7" i="7"/>
  <c r="J111" i="3"/>
  <c r="J112" i="3"/>
  <c r="J113" i="3"/>
  <c r="J114" i="3"/>
  <c r="J115" i="3"/>
  <c r="J116" i="3"/>
  <c r="J117" i="3"/>
  <c r="J118" i="3"/>
  <c r="J119" i="3"/>
  <c r="J120" i="3"/>
  <c r="J121" i="3"/>
  <c r="J122" i="3"/>
  <c r="J123" i="3"/>
  <c r="J124" i="3"/>
  <c r="J125" i="3"/>
  <c r="J126" i="3"/>
  <c r="J127" i="3"/>
  <c r="J128" i="3"/>
  <c r="J129" i="3"/>
  <c r="J130" i="3"/>
  <c r="J131" i="3"/>
  <c r="J132" i="3"/>
  <c r="M191" i="1"/>
  <c r="M192" i="1"/>
  <c r="M193" i="1"/>
  <c r="M194" i="1"/>
  <c r="M195" i="1"/>
  <c r="M196" i="1"/>
  <c r="M197" i="1"/>
  <c r="M198" i="1"/>
  <c r="M199" i="1"/>
  <c r="M200" i="1"/>
  <c r="M201" i="1"/>
  <c r="M202" i="1"/>
  <c r="M203" i="1"/>
  <c r="M190" i="1"/>
  <c r="M189" i="1"/>
  <c r="F47" i="3"/>
  <c r="F48" i="3"/>
  <c r="F49" i="3"/>
  <c r="F50" i="3"/>
  <c r="F51" i="3"/>
  <c r="F52" i="3"/>
  <c r="F53" i="3"/>
  <c r="F54" i="3"/>
  <c r="F55" i="3"/>
  <c r="F56" i="3"/>
  <c r="F57" i="3"/>
  <c r="F58" i="3"/>
  <c r="F59" i="3"/>
  <c r="F46" i="3"/>
  <c r="F45" i="3"/>
  <c r="F33" i="3"/>
  <c r="F19" i="3"/>
  <c r="D146" i="1"/>
  <c r="D145" i="1"/>
  <c r="D141" i="1"/>
  <c r="D129" i="1"/>
  <c r="L129" i="1" s="1"/>
  <c r="D128" i="1"/>
  <c r="H183" i="1"/>
  <c r="G159" i="1"/>
  <c r="D130" i="1"/>
  <c r="D131" i="1"/>
  <c r="D132" i="1"/>
  <c r="D133" i="1"/>
  <c r="D134" i="1"/>
  <c r="D135" i="1"/>
  <c r="D136" i="1"/>
  <c r="D137" i="1"/>
  <c r="D138" i="1"/>
  <c r="D139" i="1"/>
  <c r="D140" i="1"/>
  <c r="D142" i="1"/>
  <c r="D143" i="1"/>
  <c r="D144" i="1"/>
  <c r="D147" i="1"/>
  <c r="D148" i="1"/>
  <c r="D149" i="1"/>
  <c r="D150" i="1"/>
  <c r="D151" i="1"/>
  <c r="D152" i="1"/>
  <c r="D153" i="1"/>
  <c r="D56" i="1"/>
  <c r="L57" i="1" s="1"/>
  <c r="K23" i="1"/>
  <c r="K24" i="1"/>
  <c r="K22" i="1"/>
  <c r="P139" i="3"/>
  <c r="C17" i="16" a="1"/>
  <c r="C17" i="16" s="1"/>
  <c r="AR26" i="8"/>
  <c r="AQ25" i="8"/>
  <c r="AQ24" i="8"/>
  <c r="AQ26" i="8" s="1"/>
  <c r="AQ23" i="8" s="1"/>
  <c r="AQ22" i="8" s="1"/>
  <c r="AR22" i="8" s="1"/>
  <c r="AR18" i="8"/>
  <c r="AS16" i="8"/>
  <c r="AN26" i="8"/>
  <c r="AM25" i="8"/>
  <c r="AN18" i="8"/>
  <c r="AJ26" i="8"/>
  <c r="AI25" i="8"/>
  <c r="AJ18" i="8"/>
  <c r="AF26" i="8"/>
  <c r="AE25" i="8"/>
  <c r="AF18" i="8"/>
  <c r="AB26" i="8"/>
  <c r="AA25" i="8"/>
  <c r="AB18" i="8"/>
  <c r="X26" i="8"/>
  <c r="W25" i="8"/>
  <c r="X18" i="8"/>
  <c r="T26" i="8"/>
  <c r="S25" i="8"/>
  <c r="T18" i="8"/>
  <c r="P26" i="8"/>
  <c r="O25" i="8"/>
  <c r="P18" i="8"/>
  <c r="L26" i="8"/>
  <c r="K25" i="8"/>
  <c r="L18" i="8"/>
  <c r="A25" i="8"/>
  <c r="B18" i="8"/>
  <c r="G161" i="1" l="1"/>
  <c r="C27" i="16" s="1"/>
  <c r="M204" i="1" l="1" a="1"/>
  <c r="M204" i="1" s="1"/>
  <c r="C33" i="16" s="1"/>
  <c r="G205" i="1"/>
  <c r="G206" i="1"/>
  <c r="L189" i="1" l="1"/>
  <c r="D76" i="12" l="1"/>
  <c r="K226" i="1" l="1"/>
  <c r="K227" i="1"/>
  <c r="K228" i="1"/>
  <c r="K229" i="1"/>
  <c r="K230" i="1"/>
  <c r="G45" i="1" l="1"/>
  <c r="D177" i="1"/>
  <c r="B11" i="8"/>
  <c r="D5" i="11"/>
  <c r="D6" i="11"/>
  <c r="D7" i="11"/>
  <c r="D8" i="11"/>
  <c r="D9" i="11"/>
  <c r="D10" i="11"/>
  <c r="D11" i="11"/>
  <c r="D12" i="11"/>
  <c r="D13" i="11"/>
  <c r="D14" i="11"/>
  <c r="D15" i="11"/>
  <c r="D16" i="11"/>
  <c r="D17" i="11"/>
  <c r="D18" i="11"/>
  <c r="D19" i="11"/>
  <c r="D20" i="11"/>
  <c r="D21" i="11"/>
  <c r="D22" i="11"/>
  <c r="D23" i="11"/>
  <c r="D24" i="11"/>
  <c r="D25" i="11"/>
  <c r="D26" i="11"/>
  <c r="C16" i="8" l="1"/>
  <c r="C61" i="16"/>
  <c r="A24" i="8"/>
  <c r="A26" i="8" l="1"/>
  <c r="A23" i="8" s="1"/>
  <c r="A22" i="8" s="1"/>
  <c r="B22" i="8" s="1"/>
  <c r="I49" i="12"/>
  <c r="I109" i="12"/>
  <c r="C67" i="16" s="1"/>
  <c r="I56" i="12"/>
  <c r="I53" i="12"/>
  <c r="I103" i="12"/>
  <c r="I102" i="12"/>
  <c r="I101" i="12"/>
  <c r="I100" i="12"/>
  <c r="I93" i="12"/>
  <c r="I90" i="12"/>
  <c r="I89" i="12"/>
  <c r="I81" i="12"/>
  <c r="I78" i="12"/>
  <c r="I77" i="12"/>
  <c r="I75" i="12"/>
  <c r="I74" i="12"/>
  <c r="I66" i="12"/>
  <c r="C42" i="16" s="1"/>
  <c r="D61" i="12"/>
  <c r="I60" i="12"/>
  <c r="D59" i="12"/>
  <c r="I58" i="12"/>
  <c r="I57" i="12"/>
  <c r="I50" i="12"/>
  <c r="D46" i="12"/>
  <c r="E38" i="12"/>
  <c r="C39" i="16"/>
  <c r="D22" i="12"/>
  <c r="H18" i="12" s="1"/>
  <c r="C38" i="16" s="1"/>
  <c r="D12" i="12"/>
  <c r="D11" i="12" s="1"/>
  <c r="H10" i="12"/>
  <c r="C37" i="16" s="1"/>
  <c r="F3" i="12"/>
  <c r="F2" i="12"/>
  <c r="K124" i="3"/>
  <c r="H112" i="3"/>
  <c r="M244" i="1"/>
  <c r="C66" i="16" s="1"/>
  <c r="E169" i="1"/>
  <c r="G232" i="1"/>
  <c r="H149" i="3"/>
  <c r="H150" i="3"/>
  <c r="H148" i="3"/>
  <c r="C16" i="16"/>
  <c r="C15" i="16" s="1"/>
  <c r="C58" i="16" l="1"/>
  <c r="C40" i="16"/>
  <c r="C36" i="16" s="1"/>
  <c r="C56" i="16"/>
  <c r="C41" i="16"/>
  <c r="C57" i="16"/>
  <c r="C48" i="16"/>
  <c r="H17" i="7"/>
  <c r="H154" i="3"/>
  <c r="F65" i="3"/>
  <c r="F64" i="3"/>
  <c r="F63" i="3"/>
  <c r="F62" i="3"/>
  <c r="F61" i="3"/>
  <c r="D6" i="9"/>
  <c r="H182" i="1"/>
  <c r="C32" i="16" s="1"/>
  <c r="E170" i="1"/>
  <c r="C29" i="16" s="1"/>
  <c r="F60" i="3"/>
  <c r="F43" i="3"/>
  <c r="F42" i="3"/>
  <c r="H131" i="3" l="1"/>
  <c r="K132" i="3"/>
  <c r="J45" i="1" l="1"/>
  <c r="D45" i="1"/>
  <c r="D46" i="1" s="1"/>
  <c r="G68" i="1" s="1"/>
  <c r="K45" i="1" l="1"/>
  <c r="G46" i="1"/>
  <c r="J46" i="1"/>
  <c r="K109" i="3"/>
  <c r="D3" i="11" s="1"/>
  <c r="K110" i="3"/>
  <c r="K111" i="3"/>
  <c r="F5" i="11" s="1"/>
  <c r="K112" i="3"/>
  <c r="E6" i="11" s="1"/>
  <c r="K113" i="3"/>
  <c r="K114" i="3"/>
  <c r="K115" i="3"/>
  <c r="K116" i="3"/>
  <c r="K117" i="3"/>
  <c r="K118" i="3"/>
  <c r="K119" i="3"/>
  <c r="K120" i="3"/>
  <c r="F14" i="11" s="1"/>
  <c r="K121" i="3"/>
  <c r="K122" i="3"/>
  <c r="K123" i="3"/>
  <c r="E17" i="11" s="1"/>
  <c r="F18" i="11"/>
  <c r="K125" i="3"/>
  <c r="F19" i="11" s="1"/>
  <c r="K126" i="3"/>
  <c r="F20" i="11" s="1"/>
  <c r="K127" i="3"/>
  <c r="K128" i="3"/>
  <c r="K129" i="3"/>
  <c r="K130" i="3"/>
  <c r="K131" i="3"/>
  <c r="K108" i="3"/>
  <c r="D2" i="11" s="1"/>
  <c r="H117" i="3"/>
  <c r="I117" i="3" s="1"/>
  <c r="H118" i="3"/>
  <c r="I118" i="3" s="1"/>
  <c r="H119" i="3"/>
  <c r="I119" i="3" s="1"/>
  <c r="H120" i="3"/>
  <c r="I120" i="3" s="1"/>
  <c r="H121" i="3"/>
  <c r="I121" i="3" s="1"/>
  <c r="H122" i="3"/>
  <c r="I122" i="3" s="1"/>
  <c r="H123" i="3"/>
  <c r="I123" i="3" s="1"/>
  <c r="H124" i="3"/>
  <c r="I124" i="3" s="1"/>
  <c r="H125" i="3"/>
  <c r="I125" i="3" s="1"/>
  <c r="H127" i="3"/>
  <c r="I127" i="3" s="1"/>
  <c r="H128" i="3"/>
  <c r="I128" i="3" s="1"/>
  <c r="H129" i="3"/>
  <c r="I129" i="3" s="1"/>
  <c r="H130" i="3"/>
  <c r="I130" i="3" s="1"/>
  <c r="I131" i="3"/>
  <c r="H132" i="3"/>
  <c r="I132" i="3" s="1"/>
  <c r="D47" i="1"/>
  <c r="G69" i="1" s="1"/>
  <c r="L58" i="1"/>
  <c r="C53" i="16" s="1"/>
  <c r="D4" i="11" l="1"/>
  <c r="F4" i="11" s="1"/>
  <c r="K47" i="1"/>
  <c r="K46" i="1"/>
  <c r="F10" i="11"/>
  <c r="E10" i="11"/>
  <c r="E15" i="11"/>
  <c r="F15" i="11"/>
  <c r="E26" i="11"/>
  <c r="F26" i="11"/>
  <c r="F11" i="11"/>
  <c r="E11" i="11"/>
  <c r="F7" i="11"/>
  <c r="E7" i="11"/>
  <c r="F25" i="11"/>
  <c r="E25" i="11"/>
  <c r="E22" i="11"/>
  <c r="F22" i="11"/>
  <c r="F24" i="11"/>
  <c r="E24" i="11"/>
  <c r="E8" i="11"/>
  <c r="F8" i="11"/>
  <c r="F13" i="11"/>
  <c r="E13" i="11"/>
  <c r="E23" i="11"/>
  <c r="F23" i="11"/>
  <c r="F21" i="11"/>
  <c r="E21" i="11"/>
  <c r="E16" i="11"/>
  <c r="F16" i="11"/>
  <c r="E12" i="11"/>
  <c r="F12" i="11"/>
  <c r="E9" i="11"/>
  <c r="F9" i="11"/>
  <c r="E14" i="11"/>
  <c r="G14" i="11" s="1"/>
  <c r="F17" i="11"/>
  <c r="G17" i="11" s="1"/>
  <c r="E20" i="11"/>
  <c r="E19" i="11"/>
  <c r="G19" i="11" s="1"/>
  <c r="E5" i="11"/>
  <c r="G5" i="11" s="1"/>
  <c r="E18" i="11"/>
  <c r="G18" i="11" s="1"/>
  <c r="F6" i="11"/>
  <c r="G6" i="11" s="1"/>
  <c r="I112" i="3" s="1"/>
  <c r="F3" i="11"/>
  <c r="E3" i="11"/>
  <c r="E2" i="11"/>
  <c r="F2" i="11"/>
  <c r="H11" i="7"/>
  <c r="L131" i="1"/>
  <c r="L132" i="1"/>
  <c r="L133" i="1"/>
  <c r="L134" i="1"/>
  <c r="L135" i="1"/>
  <c r="L136" i="1"/>
  <c r="L137" i="1"/>
  <c r="L138" i="1"/>
  <c r="L139" i="1"/>
  <c r="L140" i="1"/>
  <c r="L145" i="1"/>
  <c r="L153" i="1"/>
  <c r="L152" i="1"/>
  <c r="L151" i="1"/>
  <c r="L150" i="1"/>
  <c r="L149" i="1"/>
  <c r="L148" i="1"/>
  <c r="L147" i="1"/>
  <c r="L146" i="1"/>
  <c r="L144" i="1"/>
  <c r="L143" i="1"/>
  <c r="L142" i="1"/>
  <c r="L141" i="1"/>
  <c r="F70" i="3"/>
  <c r="D14" i="9"/>
  <c r="D10" i="9"/>
  <c r="B12" i="8"/>
  <c r="AR12" i="8"/>
  <c r="AN12" i="8"/>
  <c r="AJ12" i="8"/>
  <c r="AF12" i="8"/>
  <c r="AB12" i="8"/>
  <c r="X12" i="8"/>
  <c r="T12" i="8"/>
  <c r="P12" i="8"/>
  <c r="L12" i="8"/>
  <c r="AR11" i="8"/>
  <c r="AN11" i="8"/>
  <c r="AJ11" i="8"/>
  <c r="AF11" i="8"/>
  <c r="AB11" i="8"/>
  <c r="X11" i="8"/>
  <c r="T11" i="8"/>
  <c r="P11" i="8"/>
  <c r="L11" i="8"/>
  <c r="M16" i="8" s="1"/>
  <c r="J108" i="3" l="1"/>
  <c r="J109" i="3"/>
  <c r="E4" i="11"/>
  <c r="AO16" i="8"/>
  <c r="AM24" i="8"/>
  <c r="AM26" i="8" s="1"/>
  <c r="AM23" i="8" s="1"/>
  <c r="AI24" i="8"/>
  <c r="AI26" i="8" s="1"/>
  <c r="AI23" i="8" s="1"/>
  <c r="AK16" i="8"/>
  <c r="AE24" i="8"/>
  <c r="AE26" i="8" s="1"/>
  <c r="AE23" i="8" s="1"/>
  <c r="AG16" i="8"/>
  <c r="AA24" i="8"/>
  <c r="AA26" i="8" s="1"/>
  <c r="AA23" i="8" s="1"/>
  <c r="AC16" i="8"/>
  <c r="W24" i="8"/>
  <c r="W26" i="8" s="1"/>
  <c r="W23" i="8" s="1"/>
  <c r="Y16" i="8"/>
  <c r="S24" i="8"/>
  <c r="S26" i="8" s="1"/>
  <c r="S23" i="8" s="1"/>
  <c r="U16" i="8"/>
  <c r="O24" i="8"/>
  <c r="O26" i="8" s="1"/>
  <c r="O23" i="8" s="1"/>
  <c r="Q16" i="8"/>
  <c r="K24" i="8"/>
  <c r="K26" i="8" s="1"/>
  <c r="K23" i="8" s="1"/>
  <c r="G20" i="11"/>
  <c r="H126" i="3" s="1"/>
  <c r="I126" i="3" s="1"/>
  <c r="H111" i="3"/>
  <c r="I111" i="3" s="1"/>
  <c r="G13" i="11"/>
  <c r="G24" i="11"/>
  <c r="G11" i="11"/>
  <c r="L128" i="1"/>
  <c r="G25" i="11"/>
  <c r="G10" i="11"/>
  <c r="H116" i="3" s="1"/>
  <c r="I116" i="3" s="1"/>
  <c r="G22" i="11"/>
  <c r="G12" i="11"/>
  <c r="G16" i="11"/>
  <c r="G21" i="11"/>
  <c r="G7" i="11"/>
  <c r="H113" i="3" s="1"/>
  <c r="I113" i="3" s="1"/>
  <c r="G23" i="11"/>
  <c r="G8" i="11"/>
  <c r="H114" i="3" s="1"/>
  <c r="I114" i="3" s="1"/>
  <c r="G15" i="11"/>
  <c r="G9" i="11"/>
  <c r="H115" i="3" s="1"/>
  <c r="I115" i="3" s="1"/>
  <c r="G26" i="11"/>
  <c r="G3" i="11"/>
  <c r="G2" i="11"/>
  <c r="L130" i="1"/>
  <c r="J26" i="1"/>
  <c r="G26" i="1"/>
  <c r="D26" i="1"/>
  <c r="G67" i="1" s="1"/>
  <c r="K25" i="1"/>
  <c r="D25" i="1"/>
  <c r="G66" i="1" s="1"/>
  <c r="L52" i="1"/>
  <c r="C52" i="16" l="1"/>
  <c r="C51" i="16"/>
  <c r="K26" i="1"/>
  <c r="G4" i="11"/>
  <c r="H110" i="3" s="1"/>
  <c r="I110" i="3" s="1"/>
  <c r="J110" i="3"/>
  <c r="W22" i="8"/>
  <c r="X22" i="8" s="1"/>
  <c r="AE22" i="8"/>
  <c r="AF22" i="8" s="1"/>
  <c r="AM22" i="8"/>
  <c r="AN22" i="8" s="1"/>
  <c r="AI22" i="8"/>
  <c r="AJ22" i="8" s="1"/>
  <c r="O22" i="8"/>
  <c r="P22" i="8" s="1"/>
  <c r="AA22" i="8"/>
  <c r="AB22" i="8" s="1"/>
  <c r="S22" i="8"/>
  <c r="T22" i="8" s="1"/>
  <c r="K22" i="8"/>
  <c r="L22" i="8" s="1"/>
  <c r="I108" i="3"/>
  <c r="H109" i="3"/>
  <c r="I109" i="3" s="1"/>
  <c r="K32" i="8"/>
  <c r="D15" i="6"/>
  <c r="D3" i="6"/>
  <c r="D4" i="6"/>
  <c r="D5" i="6"/>
  <c r="D6" i="6"/>
  <c r="D7" i="6"/>
  <c r="D8" i="6"/>
  <c r="D9" i="6"/>
  <c r="D10" i="6"/>
  <c r="D11" i="6"/>
  <c r="D12" i="6"/>
  <c r="D13" i="6"/>
  <c r="D14"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66" i="6"/>
  <c r="D267" i="6"/>
  <c r="D268" i="6"/>
  <c r="D269" i="6"/>
  <c r="D270" i="6"/>
  <c r="D271" i="6"/>
  <c r="D272" i="6"/>
  <c r="D273" i="6"/>
  <c r="D274" i="6"/>
  <c r="D275" i="6"/>
  <c r="D276" i="6"/>
  <c r="D277" i="6"/>
  <c r="D278" i="6"/>
  <c r="D279" i="6"/>
  <c r="D280" i="6"/>
  <c r="D281" i="6"/>
  <c r="D282" i="6"/>
  <c r="D283" i="6"/>
  <c r="D284" i="6"/>
  <c r="D285" i="6"/>
  <c r="D286" i="6"/>
  <c r="D287" i="6"/>
  <c r="D288" i="6"/>
  <c r="D289" i="6"/>
  <c r="D290" i="6"/>
  <c r="D291" i="6"/>
  <c r="D292" i="6"/>
  <c r="D293" i="6"/>
  <c r="D294" i="6"/>
  <c r="D295" i="6"/>
  <c r="D296" i="6"/>
  <c r="D297" i="6"/>
  <c r="D298" i="6"/>
  <c r="D299" i="6"/>
  <c r="D300" i="6"/>
  <c r="D301" i="6"/>
  <c r="D302" i="6"/>
  <c r="D303" i="6"/>
  <c r="D304" i="6"/>
  <c r="D305" i="6"/>
  <c r="D306" i="6"/>
  <c r="D307" i="6"/>
  <c r="D308" i="6"/>
  <c r="D309" i="6"/>
  <c r="D310" i="6"/>
  <c r="D311" i="6"/>
  <c r="D312" i="6"/>
  <c r="D313" i="6"/>
  <c r="D314" i="6"/>
  <c r="D315" i="6"/>
  <c r="D316" i="6"/>
  <c r="D317" i="6"/>
  <c r="D318" i="6"/>
  <c r="D319" i="6"/>
  <c r="D320" i="6"/>
  <c r="D321" i="6"/>
  <c r="D322" i="6"/>
  <c r="D323" i="6"/>
  <c r="D324" i="6"/>
  <c r="D325" i="6"/>
  <c r="D326" i="6"/>
  <c r="D327" i="6"/>
  <c r="D328" i="6"/>
  <c r="D329" i="6"/>
  <c r="D330" i="6"/>
  <c r="D331" i="6"/>
  <c r="D332" i="6"/>
  <c r="D333" i="6"/>
  <c r="D334" i="6"/>
  <c r="D335" i="6"/>
  <c r="D336" i="6"/>
  <c r="D337" i="6"/>
  <c r="D338" i="6"/>
  <c r="D339" i="6"/>
  <c r="D340" i="6"/>
  <c r="D341" i="6"/>
  <c r="D342" i="6"/>
  <c r="D343" i="6"/>
  <c r="D344" i="6"/>
  <c r="D345" i="6"/>
  <c r="D346" i="6"/>
  <c r="D347" i="6"/>
  <c r="D348" i="6"/>
  <c r="D349" i="6"/>
  <c r="D350" i="6"/>
  <c r="D351" i="6"/>
  <c r="D352" i="6"/>
  <c r="D353" i="6"/>
  <c r="D354" i="6"/>
  <c r="D355" i="6"/>
  <c r="D356" i="6"/>
  <c r="D357" i="6"/>
  <c r="D358" i="6"/>
  <c r="D359" i="6"/>
  <c r="D360" i="6"/>
  <c r="D361" i="6"/>
  <c r="D362" i="6"/>
  <c r="D363" i="6"/>
  <c r="D364" i="6"/>
  <c r="D365" i="6"/>
  <c r="D366" i="6"/>
  <c r="D367" i="6"/>
  <c r="D368" i="6"/>
  <c r="D369" i="6"/>
  <c r="D370" i="6"/>
  <c r="D371" i="6"/>
  <c r="D372" i="6"/>
  <c r="D373" i="6"/>
  <c r="D374" i="6"/>
  <c r="D375" i="6"/>
  <c r="D376" i="6"/>
  <c r="D377" i="6"/>
  <c r="D378" i="6"/>
  <c r="D379" i="6"/>
  <c r="D380" i="6"/>
  <c r="D381" i="6"/>
  <c r="D382" i="6"/>
  <c r="D383" i="6"/>
  <c r="D384" i="6"/>
  <c r="D385" i="6"/>
  <c r="D386" i="6"/>
  <c r="D387" i="6"/>
  <c r="D388" i="6"/>
  <c r="D389" i="6"/>
  <c r="D390" i="6"/>
  <c r="D391" i="6"/>
  <c r="D392" i="6"/>
  <c r="D393" i="6"/>
  <c r="D394" i="6"/>
  <c r="D395" i="6"/>
  <c r="D396" i="6"/>
  <c r="D397" i="6"/>
  <c r="D398" i="6"/>
  <c r="D399" i="6"/>
  <c r="D400" i="6"/>
  <c r="D401" i="6"/>
  <c r="D402" i="6"/>
  <c r="D403" i="6"/>
  <c r="D404" i="6"/>
  <c r="D405" i="6"/>
  <c r="D406" i="6"/>
  <c r="D407" i="6"/>
  <c r="D408" i="6"/>
  <c r="D409" i="6"/>
  <c r="D410" i="6"/>
  <c r="D411" i="6"/>
  <c r="D412" i="6"/>
  <c r="D413" i="6"/>
  <c r="D414" i="6"/>
  <c r="D415" i="6"/>
  <c r="D416" i="6"/>
  <c r="D417" i="6"/>
  <c r="D418" i="6"/>
  <c r="D419" i="6"/>
  <c r="D420" i="6"/>
  <c r="D421" i="6"/>
  <c r="D422" i="6"/>
  <c r="D423" i="6"/>
  <c r="D424" i="6"/>
  <c r="D425" i="6"/>
  <c r="D426" i="6"/>
  <c r="D427" i="6"/>
  <c r="D428" i="6"/>
  <c r="D429" i="6"/>
  <c r="D430" i="6"/>
  <c r="D431" i="6"/>
  <c r="D432" i="6"/>
  <c r="D433" i="6"/>
  <c r="D434" i="6"/>
  <c r="D435" i="6"/>
  <c r="D436" i="6"/>
  <c r="D437" i="6"/>
  <c r="D438" i="6"/>
  <c r="D439" i="6"/>
  <c r="D440" i="6"/>
  <c r="D441" i="6"/>
  <c r="D442" i="6"/>
  <c r="D443" i="6"/>
  <c r="D444" i="6"/>
  <c r="D445" i="6"/>
  <c r="D446" i="6"/>
  <c r="D447" i="6"/>
  <c r="D448" i="6"/>
  <c r="D449" i="6"/>
  <c r="D450" i="6"/>
  <c r="D451" i="6"/>
  <c r="D452" i="6"/>
  <c r="D453" i="6"/>
  <c r="D454" i="6"/>
  <c r="D455" i="6"/>
  <c r="D456" i="6"/>
  <c r="D457" i="6"/>
  <c r="D458" i="6"/>
  <c r="D459" i="6"/>
  <c r="D460" i="6"/>
  <c r="D461" i="6"/>
  <c r="D462" i="6"/>
  <c r="D463" i="6"/>
  <c r="D464" i="6"/>
  <c r="D465" i="6"/>
  <c r="D466" i="6"/>
  <c r="D467" i="6"/>
  <c r="D468" i="6"/>
  <c r="D469" i="6"/>
  <c r="D470" i="6"/>
  <c r="D471" i="6"/>
  <c r="D472" i="6"/>
  <c r="D473" i="6"/>
  <c r="D474" i="6"/>
  <c r="D475" i="6"/>
  <c r="D476" i="6"/>
  <c r="D477" i="6"/>
  <c r="D478" i="6"/>
  <c r="D479" i="6"/>
  <c r="D480" i="6"/>
  <c r="D481" i="6"/>
  <c r="D482" i="6"/>
  <c r="D483" i="6"/>
  <c r="D484" i="6"/>
  <c r="D485" i="6"/>
  <c r="D486" i="6"/>
  <c r="D487" i="6"/>
  <c r="D488" i="6"/>
  <c r="D489" i="6"/>
  <c r="D490" i="6"/>
  <c r="D491" i="6"/>
  <c r="D492" i="6"/>
  <c r="D493" i="6"/>
  <c r="D494" i="6"/>
  <c r="D495" i="6"/>
  <c r="D496" i="6"/>
  <c r="D497" i="6"/>
  <c r="D498" i="6"/>
  <c r="D499" i="6"/>
  <c r="D500" i="6"/>
  <c r="D501" i="6"/>
  <c r="D502" i="6"/>
  <c r="D503" i="6"/>
  <c r="D504" i="6"/>
  <c r="D505" i="6"/>
  <c r="D506" i="6"/>
  <c r="D507" i="6"/>
  <c r="D508" i="6"/>
  <c r="D509" i="6"/>
  <c r="D510" i="6"/>
  <c r="D511" i="6"/>
  <c r="D512" i="6"/>
  <c r="D513" i="6"/>
  <c r="D514" i="6"/>
  <c r="D515" i="6"/>
  <c r="D516" i="6"/>
  <c r="D517" i="6"/>
  <c r="D518" i="6"/>
  <c r="D519" i="6"/>
  <c r="D520" i="6"/>
  <c r="D521" i="6"/>
  <c r="D522" i="6"/>
  <c r="D523" i="6"/>
  <c r="D524" i="6"/>
  <c r="D525" i="6"/>
  <c r="D526" i="6"/>
  <c r="D527" i="6"/>
  <c r="D528" i="6"/>
  <c r="D529" i="6"/>
  <c r="D530" i="6"/>
  <c r="D531" i="6"/>
  <c r="D532" i="6"/>
  <c r="D533" i="6"/>
  <c r="D534" i="6"/>
  <c r="D535" i="6"/>
  <c r="D536" i="6"/>
  <c r="D537" i="6"/>
  <c r="D538" i="6"/>
  <c r="D539" i="6"/>
  <c r="D540" i="6"/>
  <c r="D541" i="6"/>
  <c r="D542" i="6"/>
  <c r="D543" i="6"/>
  <c r="D544" i="6"/>
  <c r="D545" i="6"/>
  <c r="D546" i="6"/>
  <c r="D547" i="6"/>
  <c r="D548" i="6"/>
  <c r="D549" i="6"/>
  <c r="D550" i="6"/>
  <c r="D551" i="6"/>
  <c r="D552" i="6"/>
  <c r="D553" i="6"/>
  <c r="D554" i="6"/>
  <c r="D555" i="6"/>
  <c r="D556" i="6"/>
  <c r="D557" i="6"/>
  <c r="D558" i="6"/>
  <c r="D559" i="6"/>
  <c r="D560" i="6"/>
  <c r="D561" i="6"/>
  <c r="D562" i="6"/>
  <c r="D563" i="6"/>
  <c r="D564" i="6"/>
  <c r="D565" i="6"/>
  <c r="D566" i="6"/>
  <c r="D567" i="6"/>
  <c r="D568" i="6"/>
  <c r="D569" i="6"/>
  <c r="D570" i="6"/>
  <c r="D571" i="6"/>
  <c r="D572" i="6"/>
  <c r="D573" i="6"/>
  <c r="D574" i="6"/>
  <c r="D575" i="6"/>
  <c r="D576" i="6"/>
  <c r="D577" i="6"/>
  <c r="D578" i="6"/>
  <c r="D579" i="6"/>
  <c r="D580" i="6"/>
  <c r="D581" i="6"/>
  <c r="D582" i="6"/>
  <c r="D583" i="6"/>
  <c r="D584" i="6"/>
  <c r="D585" i="6"/>
  <c r="D586" i="6"/>
  <c r="D587" i="6"/>
  <c r="D588" i="6"/>
  <c r="D589" i="6"/>
  <c r="D590" i="6"/>
  <c r="D591" i="6"/>
  <c r="D592" i="6"/>
  <c r="D593" i="6"/>
  <c r="D594" i="6"/>
  <c r="D595" i="6"/>
  <c r="D596" i="6"/>
  <c r="D597" i="6"/>
  <c r="D598" i="6"/>
  <c r="D599" i="6"/>
  <c r="D600" i="6"/>
  <c r="D601" i="6"/>
  <c r="D602" i="6"/>
  <c r="D603" i="6"/>
  <c r="D604" i="6"/>
  <c r="D605" i="6"/>
  <c r="D606" i="6"/>
  <c r="D607" i="6"/>
  <c r="D608" i="6"/>
  <c r="D609" i="6"/>
  <c r="D610" i="6"/>
  <c r="D611" i="6"/>
  <c r="D612" i="6"/>
  <c r="D613" i="6"/>
  <c r="D614" i="6"/>
  <c r="D615" i="6"/>
  <c r="D616" i="6"/>
  <c r="D617" i="6"/>
  <c r="D618" i="6"/>
  <c r="D619" i="6"/>
  <c r="D620" i="6"/>
  <c r="D621" i="6"/>
  <c r="D622" i="6"/>
  <c r="D623" i="6"/>
  <c r="D624" i="6"/>
  <c r="D625" i="6"/>
  <c r="D626" i="6"/>
  <c r="D627" i="6"/>
  <c r="D628" i="6"/>
  <c r="D629" i="6"/>
  <c r="D630" i="6"/>
  <c r="D631" i="6"/>
  <c r="D632" i="6"/>
  <c r="D633" i="6"/>
  <c r="D634" i="6"/>
  <c r="D635" i="6"/>
  <c r="D636" i="6"/>
  <c r="D637" i="6"/>
  <c r="D638" i="6"/>
  <c r="D639" i="6"/>
  <c r="D640" i="6"/>
  <c r="D641" i="6"/>
  <c r="D642" i="6"/>
  <c r="D643" i="6"/>
  <c r="D644" i="6"/>
  <c r="D645" i="6"/>
  <c r="D646" i="6"/>
  <c r="D647" i="6"/>
  <c r="D648" i="6"/>
  <c r="D649" i="6"/>
  <c r="D650" i="6"/>
  <c r="D651" i="6"/>
  <c r="D652" i="6"/>
  <c r="D653" i="6"/>
  <c r="D654" i="6"/>
  <c r="D655" i="6"/>
  <c r="D656" i="6"/>
  <c r="D657" i="6"/>
  <c r="D658" i="6"/>
  <c r="D659" i="6"/>
  <c r="D660" i="6"/>
  <c r="D661" i="6"/>
  <c r="D662" i="6"/>
  <c r="D663" i="6"/>
  <c r="D664" i="6"/>
  <c r="D665" i="6"/>
  <c r="D666" i="6"/>
  <c r="D667" i="6"/>
  <c r="D668" i="6"/>
  <c r="D669" i="6"/>
  <c r="D670" i="6"/>
  <c r="D671" i="6"/>
  <c r="D672" i="6"/>
  <c r="D673" i="6"/>
  <c r="D674" i="6"/>
  <c r="D675" i="6"/>
  <c r="D676" i="6"/>
  <c r="D677" i="6"/>
  <c r="D678" i="6"/>
  <c r="D679" i="6"/>
  <c r="D680" i="6"/>
  <c r="D681" i="6"/>
  <c r="D682" i="6"/>
  <c r="D683" i="6"/>
  <c r="D684" i="6"/>
  <c r="D685" i="6"/>
  <c r="D686" i="6"/>
  <c r="D687" i="6"/>
  <c r="D688" i="6"/>
  <c r="D689" i="6"/>
  <c r="D690" i="6"/>
  <c r="D691" i="6"/>
  <c r="D692" i="6"/>
  <c r="D693" i="6"/>
  <c r="D694" i="6"/>
  <c r="D695" i="6"/>
  <c r="D696" i="6"/>
  <c r="D697" i="6"/>
  <c r="D698" i="6"/>
  <c r="D699" i="6"/>
  <c r="D700" i="6"/>
  <c r="D701" i="6"/>
  <c r="D702" i="6"/>
  <c r="D703" i="6"/>
  <c r="D704" i="6"/>
  <c r="D705" i="6"/>
  <c r="D706" i="6"/>
  <c r="D707" i="6"/>
  <c r="D708" i="6"/>
  <c r="D709" i="6"/>
  <c r="D710" i="6"/>
  <c r="D711" i="6"/>
  <c r="D712" i="6"/>
  <c r="D713" i="6"/>
  <c r="D714" i="6"/>
  <c r="D715" i="6"/>
  <c r="D716" i="6"/>
  <c r="D717" i="6"/>
  <c r="D718" i="6"/>
  <c r="D719" i="6"/>
  <c r="D720" i="6"/>
  <c r="D721" i="6"/>
  <c r="D722" i="6"/>
  <c r="D723" i="6"/>
  <c r="D724" i="6"/>
  <c r="D725" i="6"/>
  <c r="D726" i="6"/>
  <c r="D727" i="6"/>
  <c r="D728" i="6"/>
  <c r="D729" i="6"/>
  <c r="D730" i="6"/>
  <c r="D731" i="6"/>
  <c r="D732" i="6"/>
  <c r="D733" i="6"/>
  <c r="D734" i="6"/>
  <c r="D735" i="6"/>
  <c r="D736" i="6"/>
  <c r="D737" i="6"/>
  <c r="D738" i="6"/>
  <c r="D739" i="6"/>
  <c r="D740" i="6"/>
  <c r="D741" i="6"/>
  <c r="D742" i="6"/>
  <c r="D743" i="6"/>
  <c r="D744" i="6"/>
  <c r="D745" i="6"/>
  <c r="D746" i="6"/>
  <c r="D747" i="6"/>
  <c r="D748" i="6"/>
  <c r="D749" i="6"/>
  <c r="D750" i="6"/>
  <c r="D751" i="6"/>
  <c r="D752" i="6"/>
  <c r="D753" i="6"/>
  <c r="D754" i="6"/>
  <c r="D755" i="6"/>
  <c r="D756" i="6"/>
  <c r="D757" i="6"/>
  <c r="D758" i="6"/>
  <c r="D759" i="6"/>
  <c r="D760" i="6"/>
  <c r="D761" i="6"/>
  <c r="D762" i="6"/>
  <c r="D763" i="6"/>
  <c r="D764" i="6"/>
  <c r="D765" i="6"/>
  <c r="D766" i="6"/>
  <c r="D767" i="6"/>
  <c r="D768" i="6"/>
  <c r="D769" i="6"/>
  <c r="D770" i="6"/>
  <c r="D771" i="6"/>
  <c r="D772" i="6"/>
  <c r="D773" i="6"/>
  <c r="D774" i="6"/>
  <c r="D775" i="6"/>
  <c r="D776" i="6"/>
  <c r="D777" i="6"/>
  <c r="D778" i="6"/>
  <c r="D779" i="6"/>
  <c r="D780" i="6"/>
  <c r="D781" i="6"/>
  <c r="D782" i="6"/>
  <c r="D783" i="6"/>
  <c r="D784" i="6"/>
  <c r="D785" i="6"/>
  <c r="D786" i="6"/>
  <c r="D787" i="6"/>
  <c r="D788" i="6"/>
  <c r="D789" i="6"/>
  <c r="D790" i="6"/>
  <c r="D791" i="6"/>
  <c r="D792" i="6"/>
  <c r="D793" i="6"/>
  <c r="D794" i="6"/>
  <c r="D795" i="6"/>
  <c r="D796" i="6"/>
  <c r="D797" i="6"/>
  <c r="D798" i="6"/>
  <c r="D799" i="6"/>
  <c r="D800" i="6"/>
  <c r="D801" i="6"/>
  <c r="D802" i="6"/>
  <c r="D803" i="6"/>
  <c r="D804" i="6"/>
  <c r="D805" i="6"/>
  <c r="D806" i="6"/>
  <c r="D807" i="6"/>
  <c r="D808" i="6"/>
  <c r="D809" i="6"/>
  <c r="D810" i="6"/>
  <c r="D811" i="6"/>
  <c r="D812" i="6"/>
  <c r="D813" i="6"/>
  <c r="D814" i="6"/>
  <c r="D815" i="6"/>
  <c r="D816" i="6"/>
  <c r="D817" i="6"/>
  <c r="D818" i="6"/>
  <c r="D819" i="6"/>
  <c r="D820" i="6"/>
  <c r="D821" i="6"/>
  <c r="D822" i="6"/>
  <c r="D823" i="6"/>
  <c r="D824" i="6"/>
  <c r="D825" i="6"/>
  <c r="D826" i="6"/>
  <c r="D827" i="6"/>
  <c r="D828" i="6"/>
  <c r="D829" i="6"/>
  <c r="D830" i="6"/>
  <c r="D831" i="6"/>
  <c r="D832" i="6"/>
  <c r="D833" i="6"/>
  <c r="D834" i="6"/>
  <c r="D835" i="6"/>
  <c r="D836" i="6"/>
  <c r="D837" i="6"/>
  <c r="D838" i="6"/>
  <c r="D839" i="6"/>
  <c r="D840" i="6"/>
  <c r="D841" i="6"/>
  <c r="D842" i="6"/>
  <c r="D843" i="6"/>
  <c r="D844" i="6"/>
  <c r="D845" i="6"/>
  <c r="D846" i="6"/>
  <c r="D847" i="6"/>
  <c r="D848" i="6"/>
  <c r="D849" i="6"/>
  <c r="D850" i="6"/>
  <c r="D851" i="6"/>
  <c r="D852" i="6"/>
  <c r="D853" i="6"/>
  <c r="D854" i="6"/>
  <c r="D855" i="6"/>
  <c r="D856" i="6"/>
  <c r="D857" i="6"/>
  <c r="D858" i="6"/>
  <c r="D859" i="6"/>
  <c r="D860" i="6"/>
  <c r="D861" i="6"/>
  <c r="D862" i="6"/>
  <c r="D863" i="6"/>
  <c r="D864" i="6"/>
  <c r="D865" i="6"/>
  <c r="D866" i="6"/>
  <c r="D867" i="6"/>
  <c r="D868" i="6"/>
  <c r="D869" i="6"/>
  <c r="D870" i="6"/>
  <c r="D871" i="6"/>
  <c r="D872" i="6"/>
  <c r="D873" i="6"/>
  <c r="D874" i="6"/>
  <c r="D875" i="6"/>
  <c r="D876" i="6"/>
  <c r="D877" i="6"/>
  <c r="D878" i="6"/>
  <c r="D879" i="6"/>
  <c r="D880" i="6"/>
  <c r="D881" i="6"/>
  <c r="D882" i="6"/>
  <c r="D883" i="6"/>
  <c r="D884" i="6"/>
  <c r="D885" i="6"/>
  <c r="D886" i="6"/>
  <c r="D887" i="6"/>
  <c r="D888" i="6"/>
  <c r="D889" i="6"/>
  <c r="D890" i="6"/>
  <c r="D891" i="6"/>
  <c r="D892" i="6"/>
  <c r="D893" i="6"/>
  <c r="D894" i="6"/>
  <c r="D895" i="6"/>
  <c r="D896" i="6"/>
  <c r="D897" i="6"/>
  <c r="D898" i="6"/>
  <c r="D899" i="6"/>
  <c r="D900" i="6"/>
  <c r="D901" i="6"/>
  <c r="D902" i="6"/>
  <c r="D903" i="6"/>
  <c r="D904" i="6"/>
  <c r="D905" i="6"/>
  <c r="D906" i="6"/>
  <c r="D907" i="6"/>
  <c r="D908" i="6"/>
  <c r="D909" i="6"/>
  <c r="D910" i="6"/>
  <c r="D911" i="6"/>
  <c r="D912" i="6"/>
  <c r="D913" i="6"/>
  <c r="D914" i="6"/>
  <c r="D915" i="6"/>
  <c r="D916" i="6"/>
  <c r="D917" i="6"/>
  <c r="D918" i="6"/>
  <c r="D919" i="6"/>
  <c r="D920" i="6"/>
  <c r="D921" i="6"/>
  <c r="D922" i="6"/>
  <c r="D923" i="6"/>
  <c r="D924" i="6"/>
  <c r="D925" i="6"/>
  <c r="D926" i="6"/>
  <c r="D927" i="6"/>
  <c r="D928" i="6"/>
  <c r="D929" i="6"/>
  <c r="D930" i="6"/>
  <c r="D931" i="6"/>
  <c r="D932" i="6"/>
  <c r="D933" i="6"/>
  <c r="D934" i="6"/>
  <c r="D935" i="6"/>
  <c r="D936" i="6"/>
  <c r="D937" i="6"/>
  <c r="D938" i="6"/>
  <c r="D939" i="6"/>
  <c r="D940" i="6"/>
  <c r="D941" i="6"/>
  <c r="D942" i="6"/>
  <c r="D943" i="6"/>
  <c r="D944" i="6"/>
  <c r="D945" i="6"/>
  <c r="D946" i="6"/>
  <c r="D947" i="6"/>
  <c r="D948" i="6"/>
  <c r="D949" i="6"/>
  <c r="D950" i="6"/>
  <c r="D951" i="6"/>
  <c r="D952" i="6"/>
  <c r="D953" i="6"/>
  <c r="D954" i="6"/>
  <c r="D955" i="6"/>
  <c r="D956" i="6"/>
  <c r="D957" i="6"/>
  <c r="D958" i="6"/>
  <c r="D959" i="6"/>
  <c r="D960" i="6"/>
  <c r="D961" i="6"/>
  <c r="D962" i="6"/>
  <c r="D963" i="6"/>
  <c r="D964" i="6"/>
  <c r="D965" i="6"/>
  <c r="D966" i="6"/>
  <c r="D967" i="6"/>
  <c r="D968" i="6"/>
  <c r="D969" i="6"/>
  <c r="D970" i="6"/>
  <c r="D971" i="6"/>
  <c r="D972" i="6"/>
  <c r="D973" i="6"/>
  <c r="D974" i="6"/>
  <c r="D975" i="6"/>
  <c r="D976" i="6"/>
  <c r="D977" i="6"/>
  <c r="D978" i="6"/>
  <c r="D979" i="6"/>
  <c r="D980" i="6"/>
  <c r="D981" i="6"/>
  <c r="D982" i="6"/>
  <c r="D983" i="6"/>
  <c r="D984" i="6"/>
  <c r="D985" i="6"/>
  <c r="D986" i="6"/>
  <c r="D987" i="6"/>
  <c r="D988" i="6"/>
  <c r="D989" i="6"/>
  <c r="D990" i="6"/>
  <c r="D991" i="6"/>
  <c r="D992" i="6"/>
  <c r="D993" i="6"/>
  <c r="D994" i="6"/>
  <c r="D995" i="6"/>
  <c r="D996" i="6"/>
  <c r="D997" i="6"/>
  <c r="D998" i="6"/>
  <c r="D999" i="6"/>
  <c r="D1000" i="6"/>
  <c r="D1001" i="6"/>
  <c r="D1002" i="6"/>
  <c r="D1003" i="6"/>
  <c r="D1004" i="6"/>
  <c r="D1005" i="6"/>
  <c r="D1006" i="6"/>
  <c r="D1007" i="6"/>
  <c r="D1008" i="6"/>
  <c r="D1009" i="6"/>
  <c r="D1010" i="6"/>
  <c r="D1011" i="6"/>
  <c r="D1012" i="6"/>
  <c r="D1013" i="6"/>
  <c r="D1014" i="6"/>
  <c r="D1015" i="6"/>
  <c r="D1016" i="6"/>
  <c r="D1017" i="6"/>
  <c r="D1018" i="6"/>
  <c r="D1019" i="6"/>
  <c r="D1020" i="6"/>
  <c r="D1021" i="6"/>
  <c r="D1022" i="6"/>
  <c r="D1023" i="6"/>
  <c r="D1024" i="6"/>
  <c r="D1025" i="6"/>
  <c r="D1026" i="6"/>
  <c r="D1027" i="6"/>
  <c r="D1028" i="6"/>
  <c r="D1029" i="6"/>
  <c r="D1030" i="6"/>
  <c r="D1031" i="6"/>
  <c r="D1032" i="6"/>
  <c r="D1033" i="6"/>
  <c r="D1034" i="6"/>
  <c r="D1035" i="6"/>
  <c r="D1036" i="6"/>
  <c r="D1037" i="6"/>
  <c r="D1038" i="6"/>
  <c r="D1039" i="6"/>
  <c r="D1040" i="6"/>
  <c r="D1041" i="6"/>
  <c r="D1042" i="6"/>
  <c r="D1043" i="6"/>
  <c r="D1044" i="6"/>
  <c r="D1045" i="6"/>
  <c r="D1046" i="6"/>
  <c r="D1047" i="6"/>
  <c r="D1048" i="6"/>
  <c r="D1049" i="6"/>
  <c r="C50" i="16" l="1"/>
  <c r="C14" i="16"/>
  <c r="B32" i="8"/>
  <c r="A32" i="8"/>
  <c r="L12" i="1" l="1" a="1"/>
  <c r="L12" i="1" s="1"/>
  <c r="C21" i="16" s="1"/>
  <c r="A29" i="8"/>
  <c r="I32" i="7"/>
  <c r="I31" i="7"/>
  <c r="I7" i="7"/>
  <c r="I6" i="7"/>
  <c r="C44" i="16" s="1"/>
  <c r="L240" i="1"/>
  <c r="L237" i="1"/>
  <c r="L238" i="1"/>
  <c r="L239" i="1"/>
  <c r="L236" i="1"/>
  <c r="K216" i="1"/>
  <c r="E176" i="1"/>
  <c r="C30" i="16" s="1"/>
  <c r="C28" i="16" s="1"/>
  <c r="L126" i="1"/>
  <c r="H160" i="3"/>
  <c r="I100" i="3"/>
  <c r="C13" i="16" s="1"/>
  <c r="F71" i="3"/>
  <c r="F72" i="3"/>
  <c r="F73" i="3"/>
  <c r="F74" i="3"/>
  <c r="F75" i="3"/>
  <c r="F76" i="3"/>
  <c r="F77" i="3"/>
  <c r="F78" i="3"/>
  <c r="F79" i="3"/>
  <c r="F80" i="3"/>
  <c r="F81" i="3"/>
  <c r="F82" i="3"/>
  <c r="F83" i="3"/>
  <c r="F84" i="3"/>
  <c r="F85" i="3"/>
  <c r="F86" i="3"/>
  <c r="F87" i="3"/>
  <c r="F88" i="3"/>
  <c r="F89" i="3"/>
  <c r="F90" i="3"/>
  <c r="F91" i="3"/>
  <c r="F92" i="3"/>
  <c r="F93" i="3"/>
  <c r="F94" i="3"/>
  <c r="C61" i="3"/>
  <c r="C60" i="3"/>
  <c r="B26" i="8"/>
  <c r="C26" i="16" l="1"/>
  <c r="C25" i="16" s="1"/>
  <c r="C54" i="16"/>
  <c r="C63" i="16"/>
  <c r="C12" i="16"/>
  <c r="K31" i="8"/>
  <c r="K33" i="8" s="1"/>
  <c r="K30" i="8" s="1"/>
  <c r="L75" i="1" l="1" a="1"/>
  <c r="L75" i="1" s="1"/>
  <c r="C6" i="16"/>
  <c r="L190" i="1"/>
  <c r="J204" i="1" s="1"/>
  <c r="L191" i="1"/>
  <c r="L192" i="1"/>
  <c r="L193" i="1"/>
  <c r="L194" i="1"/>
  <c r="J208" i="1" s="1"/>
  <c r="L195" i="1"/>
  <c r="J207" i="1" s="1"/>
  <c r="L196" i="1"/>
  <c r="L197" i="1"/>
  <c r="L198" i="1"/>
  <c r="L199" i="1"/>
  <c r="L200" i="1"/>
  <c r="L201" i="1"/>
  <c r="L202" i="1"/>
  <c r="L203" i="1"/>
  <c r="C24" i="16" l="1"/>
  <c r="J205" i="1"/>
  <c r="J209" i="1"/>
  <c r="C22" i="16"/>
  <c r="B1" i="11"/>
  <c r="B2" i="11"/>
  <c r="C29" i="7" s="1"/>
  <c r="C48" i="12" l="1"/>
  <c r="C55" i="1"/>
  <c r="C23" i="16"/>
  <c r="C19" i="16" s="1"/>
  <c r="C71" i="1"/>
  <c r="C55" i="12"/>
  <c r="C179" i="1"/>
  <c r="C134" i="3"/>
  <c r="C172" i="1"/>
  <c r="C102" i="3"/>
  <c r="C40" i="12"/>
  <c r="C166" i="1"/>
  <c r="C96" i="3"/>
  <c r="C36" i="7"/>
  <c r="C155" i="1"/>
  <c r="C67" i="3"/>
  <c r="C121" i="1"/>
  <c r="C31" i="3"/>
  <c r="C20" i="7"/>
  <c r="C64" i="1"/>
  <c r="C9" i="7"/>
  <c r="C242" i="1"/>
  <c r="C7" i="1"/>
  <c r="C2" i="7"/>
  <c r="C234" i="1"/>
  <c r="C2" i="1"/>
  <c r="C107" i="12"/>
  <c r="C162" i="3"/>
  <c r="C92" i="12"/>
  <c r="C49" i="1"/>
  <c r="C147" i="3"/>
  <c r="C80" i="12"/>
  <c r="C211" i="1"/>
  <c r="C153" i="3"/>
  <c r="C73" i="12"/>
  <c r="C185" i="1"/>
  <c r="C141" i="3"/>
  <c r="J206" i="1"/>
  <c r="C158" i="3"/>
  <c r="C63" i="12"/>
  <c r="K12" i="1"/>
  <c r="D22" i="9" l="1"/>
  <c r="D18" i="9"/>
  <c r="I22" i="7" l="1"/>
  <c r="H27" i="7"/>
  <c r="F32" i="3"/>
  <c r="I38" i="7"/>
  <c r="C68" i="16" s="1"/>
  <c r="F44" i="3"/>
  <c r="C11" i="16" l="1"/>
  <c r="C10" i="16" s="1"/>
  <c r="C62" i="16"/>
  <c r="C60" i="16" s="1"/>
  <c r="K13" i="1"/>
  <c r="H33" i="7"/>
  <c r="H155" i="3" l="1"/>
  <c r="H156" i="3"/>
  <c r="C47" i="16" l="1"/>
  <c r="I164" i="3" l="1"/>
  <c r="C65" i="16" s="1"/>
  <c r="K217" i="1"/>
  <c r="K218" i="1"/>
  <c r="K219" i="1"/>
  <c r="K220" i="1"/>
  <c r="K221" i="1"/>
  <c r="K222" i="1"/>
  <c r="K223" i="1"/>
  <c r="K224" i="1"/>
  <c r="K225" i="1"/>
  <c r="C34" i="16" l="1"/>
  <c r="C31" i="16" s="1"/>
  <c r="F18" i="3"/>
  <c r="C7" i="16" s="1"/>
  <c r="I27" i="7"/>
  <c r="C3" i="16" l="1" a="1"/>
  <c r="C3" i="16" s="1"/>
  <c r="G3" i="6"/>
  <c r="G4" i="6"/>
  <c r="G5" i="6"/>
  <c r="G6"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8" i="6"/>
  <c r="G149" i="6"/>
  <c r="G150" i="6"/>
  <c r="G151" i="6"/>
  <c r="G152" i="6"/>
  <c r="G153" i="6"/>
  <c r="G154" i="6"/>
  <c r="G155" i="6"/>
  <c r="G156" i="6"/>
  <c r="G157" i="6"/>
  <c r="G158" i="6"/>
  <c r="G159" i="6"/>
  <c r="G160" i="6"/>
  <c r="G161" i="6"/>
  <c r="G162" i="6"/>
  <c r="G163" i="6"/>
  <c r="G164" i="6"/>
  <c r="G165" i="6"/>
  <c r="G166" i="6"/>
  <c r="G167" i="6"/>
  <c r="G168" i="6"/>
  <c r="G169" i="6"/>
  <c r="G170" i="6"/>
  <c r="G171" i="6"/>
  <c r="G172" i="6"/>
  <c r="G173" i="6"/>
  <c r="G174" i="6"/>
  <c r="G175" i="6"/>
  <c r="G176" i="6"/>
  <c r="G177" i="6"/>
  <c r="G178" i="6"/>
  <c r="G179" i="6"/>
  <c r="G180" i="6"/>
  <c r="G181" i="6"/>
  <c r="G182" i="6"/>
  <c r="G183" i="6"/>
  <c r="G184" i="6"/>
  <c r="G185" i="6"/>
  <c r="G186" i="6"/>
  <c r="G187" i="6"/>
  <c r="G188" i="6"/>
  <c r="G189" i="6"/>
  <c r="G190" i="6"/>
  <c r="G191" i="6"/>
  <c r="G192" i="6"/>
  <c r="G193" i="6"/>
  <c r="G194" i="6"/>
  <c r="G195" i="6"/>
  <c r="G196" i="6"/>
  <c r="G197" i="6"/>
  <c r="G198" i="6"/>
  <c r="G199" i="6"/>
  <c r="G200" i="6"/>
  <c r="G201" i="6"/>
  <c r="G202" i="6"/>
  <c r="G203" i="6"/>
  <c r="G204" i="6"/>
  <c r="G205" i="6"/>
  <c r="G206" i="6"/>
  <c r="G207" i="6"/>
  <c r="G208" i="6"/>
  <c r="G209" i="6"/>
  <c r="G210" i="6"/>
  <c r="G211" i="6"/>
  <c r="G212" i="6"/>
  <c r="G213" i="6"/>
  <c r="G214" i="6"/>
  <c r="G215" i="6"/>
  <c r="G216" i="6"/>
  <c r="G217" i="6"/>
  <c r="G218" i="6"/>
  <c r="G219" i="6"/>
  <c r="G220" i="6"/>
  <c r="G221" i="6"/>
  <c r="G222" i="6"/>
  <c r="G223" i="6"/>
  <c r="G224" i="6"/>
  <c r="G225" i="6"/>
  <c r="G226" i="6"/>
  <c r="G227" i="6"/>
  <c r="G228" i="6"/>
  <c r="G229" i="6"/>
  <c r="G230" i="6"/>
  <c r="G231" i="6"/>
  <c r="G232" i="6"/>
  <c r="G233" i="6"/>
  <c r="G234" i="6"/>
  <c r="G235" i="6"/>
  <c r="G236" i="6"/>
  <c r="G237" i="6"/>
  <c r="G238" i="6"/>
  <c r="G239" i="6"/>
  <c r="G240" i="6"/>
  <c r="G241" i="6"/>
  <c r="G242" i="6"/>
  <c r="G243" i="6"/>
  <c r="G244" i="6"/>
  <c r="G245" i="6"/>
  <c r="G246" i="6"/>
  <c r="G247" i="6"/>
  <c r="G248" i="6"/>
  <c r="G249" i="6"/>
  <c r="G250" i="6"/>
  <c r="G251" i="6"/>
  <c r="G252" i="6"/>
  <c r="G253" i="6"/>
  <c r="G254" i="6"/>
  <c r="G255" i="6"/>
  <c r="G256" i="6"/>
  <c r="G257" i="6"/>
  <c r="G2" i="6"/>
  <c r="D2" i="6" l="1"/>
  <c r="K14" i="1" l="1"/>
</calcChain>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xmlns:xlrd="http://schemas.microsoft.com/office/spreadsheetml/2017/richdata"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<sst xmlns="http://schemas.openxmlformats.org/spreadsheetml/2006/main" count="5347" uniqueCount="4833">
  <si>
    <t>Name of the reporting entity</t>
  </si>
  <si>
    <t>N/A</t>
  </si>
  <si>
    <t>This report contains disclosures from the previous reporting period that remain unchanged</t>
  </si>
  <si>
    <t xml:space="preserve">List of disclosures for which no changes are reported compared to the previous period reporting </t>
  </si>
  <si>
    <t xml:space="preserve">List of omitted disclosures deemed to be classified or sensitive information </t>
  </si>
  <si>
    <t>Undertakings legal form</t>
  </si>
  <si>
    <t>Number of employees</t>
  </si>
  <si>
    <t>Country of primary operations and location of significant asset(s)</t>
  </si>
  <si>
    <t>ID</t>
  </si>
  <si>
    <t>Name</t>
  </si>
  <si>
    <t>Description of sustainability-related certification(s) or label(s), including, where relevant, the issuers of the certification or label, date and rating score</t>
  </si>
  <si>
    <t>Address</t>
  </si>
  <si>
    <t>Postal code</t>
  </si>
  <si>
    <t>City</t>
  </si>
  <si>
    <t>Country</t>
  </si>
  <si>
    <t>C1 – Strategy: Business Model and Sustainability – Related Initiatives</t>
  </si>
  <si>
    <t>Description of significant groups of products and/or services offered</t>
  </si>
  <si>
    <t>Electricity (as reflected in utility billings)</t>
  </si>
  <si>
    <t>Current Reporting Period</t>
  </si>
  <si>
    <t>B4 – Pollution of air, water and soil</t>
  </si>
  <si>
    <t>Row ID</t>
  </si>
  <si>
    <t>Medium of release</t>
  </si>
  <si>
    <t>Land-use type</t>
  </si>
  <si>
    <t>Total sealed area</t>
  </si>
  <si>
    <t>Total nature_x0002_oriented area on-site</t>
  </si>
  <si>
    <t>Total nature_x0002_oriented area off-site</t>
  </si>
  <si>
    <t>Total use of land</t>
  </si>
  <si>
    <t>B7 – Resource use, circular economy and waste management</t>
  </si>
  <si>
    <t>C4 – Climate risks</t>
  </si>
  <si>
    <t>Disclosure of how it has assessed the exposure and sensitivity of its assets, activities and value chain to these hazards and transition events</t>
  </si>
  <si>
    <t>Time horizons of any climate-related hazards and transition events identified</t>
  </si>
  <si>
    <t>B8 – Workforce – General characteristics</t>
  </si>
  <si>
    <t>Type of contract</t>
  </si>
  <si>
    <t xml:space="preserve">Number of employees </t>
  </si>
  <si>
    <t>Temporary contract</t>
  </si>
  <si>
    <t>Permanent contract</t>
  </si>
  <si>
    <t>Gender</t>
  </si>
  <si>
    <t>Male</t>
  </si>
  <si>
    <t>Female</t>
  </si>
  <si>
    <t>Other</t>
  </si>
  <si>
    <t>Not reported</t>
  </si>
  <si>
    <t>Country of employment contract</t>
  </si>
  <si>
    <t>B9 – Workforce – Health and safety</t>
  </si>
  <si>
    <t>Number of fatalities as a result of work-related injuries and work-related ill health</t>
  </si>
  <si>
    <t>B10 – Workforce – Remuneration, collective bargaining and training</t>
  </si>
  <si>
    <t>C5 – Additional (general) workforce characteristics</t>
  </si>
  <si>
    <t>Total temporary workers provided by undertakings primarily engaged in employment activities</t>
  </si>
  <si>
    <t>C6 – Additional own workforce information - Human rights policies and processes</t>
  </si>
  <si>
    <t>Does the undertaking have a code of conduct or human rights policy for its own workforce?</t>
  </si>
  <si>
    <t>If yes, does this cover:</t>
  </si>
  <si>
    <t>C7 – Severe negative human rights incidents</t>
  </si>
  <si>
    <t>B11 – Convictions and fines for corruption and bribery</t>
  </si>
  <si>
    <t>C8 – Revenues from certain sectors and exclusion from EU reference benchmarks</t>
  </si>
  <si>
    <t>C9 – Gender diversity ratio in the governance body</t>
  </si>
  <si>
    <t>Technical Name</t>
  </si>
  <si>
    <t>Country List</t>
  </si>
  <si>
    <t>CountryAxis</t>
  </si>
  <si>
    <t>All Economic Activities (NACE) / NA [member]</t>
  </si>
  <si>
    <t>Andorra</t>
  </si>
  <si>
    <t>country:AD</t>
  </si>
  <si>
    <t>A - AGRICULTURE, FORESTRY AND FISHING</t>
  </si>
  <si>
    <t>NACE_A</t>
  </si>
  <si>
    <t>United Arab Emirates</t>
  </si>
  <si>
    <t>country:AE</t>
  </si>
  <si>
    <t>A - 01 Crop and animal production, hunting and related service activities</t>
  </si>
  <si>
    <t>NACE_A01</t>
  </si>
  <si>
    <t>Afghanistan</t>
  </si>
  <si>
    <t>country:AF</t>
  </si>
  <si>
    <t>A - 01.1 Growing of non-perennial crops</t>
  </si>
  <si>
    <t>NACE_A011</t>
  </si>
  <si>
    <t>Antigua and Barbuda</t>
  </si>
  <si>
    <t>country:AG</t>
  </si>
  <si>
    <t>A - 01.11 Growing of cereals, other than rice, leguminous crops and oil seeds</t>
  </si>
  <si>
    <t>NACE_A0111</t>
  </si>
  <si>
    <t>Anguilla</t>
  </si>
  <si>
    <t>country:AI</t>
  </si>
  <si>
    <t>A - 01.12 Growing of rice</t>
  </si>
  <si>
    <t>NACE_A0112</t>
  </si>
  <si>
    <t>Albania</t>
  </si>
  <si>
    <t>country:AL</t>
  </si>
  <si>
    <t>A - 01.13 Growing of vegetables and melons, roots and tubers</t>
  </si>
  <si>
    <t>NACE_A0113</t>
  </si>
  <si>
    <t>Armenia</t>
  </si>
  <si>
    <t>country:AM</t>
  </si>
  <si>
    <t>A - 01.14 Growing of sugar cane</t>
  </si>
  <si>
    <t>NACE_A0114</t>
  </si>
  <si>
    <t>Netherlands Antilles (before 2010-12-15)</t>
  </si>
  <si>
    <t>country:AN</t>
  </si>
  <si>
    <t>A - 01.15 Growing of tobacco</t>
  </si>
  <si>
    <t>NACE_A0115</t>
  </si>
  <si>
    <t>Angola</t>
  </si>
  <si>
    <t>country:AO</t>
  </si>
  <si>
    <t>A - 01.16 Growing of fibre crops</t>
  </si>
  <si>
    <t>NACE_A0116</t>
  </si>
  <si>
    <t>Antarctica</t>
  </si>
  <si>
    <t>country:AQ</t>
  </si>
  <si>
    <t>A - 01.19 Growing of other non-perennial crops</t>
  </si>
  <si>
    <t>NACE_A0119</t>
  </si>
  <si>
    <t>Argentina</t>
  </si>
  <si>
    <t>country:AR</t>
  </si>
  <si>
    <t>A - 01.2 Growing of perennial crops</t>
  </si>
  <si>
    <t>NACE_A012</t>
  </si>
  <si>
    <t>American Samoa</t>
  </si>
  <si>
    <t>country:AS</t>
  </si>
  <si>
    <t>A - 01.21 Growing of grapes</t>
  </si>
  <si>
    <t>NACE_A0121</t>
  </si>
  <si>
    <t>Austria</t>
  </si>
  <si>
    <t>country:AT</t>
  </si>
  <si>
    <t>A - 01.22 Growing of tropical and subtropical fruits</t>
  </si>
  <si>
    <t>NACE_A0122</t>
  </si>
  <si>
    <t>Australia</t>
  </si>
  <si>
    <t>country:AU</t>
  </si>
  <si>
    <t>A - 01.23 Growing of citrus fruits</t>
  </si>
  <si>
    <t>NACE_A0123</t>
  </si>
  <si>
    <t>Aruba</t>
  </si>
  <si>
    <t>country:AW</t>
  </si>
  <si>
    <t>A - 01.24 Growing of pome fruits and stone fruits</t>
  </si>
  <si>
    <t>NACE_A0124</t>
  </si>
  <si>
    <t>Åland Islands</t>
  </si>
  <si>
    <t>country:AX</t>
  </si>
  <si>
    <t>A - 01.25 Growing of other tree and bush fruits and nuts</t>
  </si>
  <si>
    <t>NACE_A0125</t>
  </si>
  <si>
    <t>Azerbaijan</t>
  </si>
  <si>
    <t>country:AZ</t>
  </si>
  <si>
    <t>A - 01.26 Growing of oleaginous fruits</t>
  </si>
  <si>
    <t>NACE_A0126</t>
  </si>
  <si>
    <t>Bosnia and Herzegovina</t>
  </si>
  <si>
    <t>country:BA</t>
  </si>
  <si>
    <t>A - 01.27 Growing of beverage crops</t>
  </si>
  <si>
    <t>NACE_A0127</t>
  </si>
  <si>
    <t>Barbados</t>
  </si>
  <si>
    <t>country:BB</t>
  </si>
  <si>
    <t>A - 01.28 Growing of spices, aromatic, drug and pharmaceutical crops</t>
  </si>
  <si>
    <t>NACE_A0128</t>
  </si>
  <si>
    <t>Bangladesh</t>
  </si>
  <si>
    <t>country:BD</t>
  </si>
  <si>
    <t>A - 01.29 Growing of other perennial crops</t>
  </si>
  <si>
    <t>NACE_A0129</t>
  </si>
  <si>
    <t>Belgium</t>
  </si>
  <si>
    <t>country:BE</t>
  </si>
  <si>
    <t>A - 01.3 Plant propagation</t>
  </si>
  <si>
    <t>NACE_A013</t>
  </si>
  <si>
    <t>Burkina Faso</t>
  </si>
  <si>
    <t>country:BF</t>
  </si>
  <si>
    <t>A - 01.30 Plant propagation</t>
  </si>
  <si>
    <t>NACE_A0130</t>
  </si>
  <si>
    <t>Bulgaria</t>
  </si>
  <si>
    <t>country:BG</t>
  </si>
  <si>
    <t>A - 01.4 Animal production</t>
  </si>
  <si>
    <t>NACE_A014</t>
  </si>
  <si>
    <t>Bahrain</t>
  </si>
  <si>
    <t>country:BH</t>
  </si>
  <si>
    <t>A - 01.41 Raising of dairy cattle</t>
  </si>
  <si>
    <t>NACE_A0141</t>
  </si>
  <si>
    <t>Burundi</t>
  </si>
  <si>
    <t>country:BI</t>
  </si>
  <si>
    <t>A - 01.42 Raising of other cattle and buffaloes</t>
  </si>
  <si>
    <t>NACE_A0142</t>
  </si>
  <si>
    <t>Benin</t>
  </si>
  <si>
    <t>country:BJ</t>
  </si>
  <si>
    <t>A - 01.43 Raising of horses and other equines</t>
  </si>
  <si>
    <t>NACE_A0143</t>
  </si>
  <si>
    <t>Saint Barthélemy</t>
  </si>
  <si>
    <t>country:BL</t>
  </si>
  <si>
    <t>A - 01.44 Raising of camels and camelids</t>
  </si>
  <si>
    <t>NACE_A0144</t>
  </si>
  <si>
    <t>Bermuda</t>
  </si>
  <si>
    <t>country:BM</t>
  </si>
  <si>
    <t>A - 01.45 Raising of sheep and goats</t>
  </si>
  <si>
    <t>NACE_A0145</t>
  </si>
  <si>
    <t>Brunei Darussalam</t>
  </si>
  <si>
    <t>country:BN</t>
  </si>
  <si>
    <t>A - 01.46 Raising of swine and pigs</t>
  </si>
  <si>
    <t>NACE_A0146</t>
  </si>
  <si>
    <t>Bolivia (Plurinational State of)</t>
  </si>
  <si>
    <t>country:BO</t>
  </si>
  <si>
    <t>A - 01.47 Raising of poultry</t>
  </si>
  <si>
    <t>NACE_A0147</t>
  </si>
  <si>
    <t>Bonaire, Sint Eustatius and Saba</t>
  </si>
  <si>
    <t>country:BQ</t>
  </si>
  <si>
    <t>A - 01.48 Raising of other animals</t>
  </si>
  <si>
    <t>NACE_A0148</t>
  </si>
  <si>
    <t>Brazil</t>
  </si>
  <si>
    <t>country:BR</t>
  </si>
  <si>
    <t>A - 01.5 Mixed farming</t>
  </si>
  <si>
    <t>NACE_A015</t>
  </si>
  <si>
    <t>Bahamas</t>
  </si>
  <si>
    <t>country:BS</t>
  </si>
  <si>
    <t>A - 01.50 Mixed farming</t>
  </si>
  <si>
    <t>NACE_A0150</t>
  </si>
  <si>
    <t>Bhutan</t>
  </si>
  <si>
    <t>country:BT</t>
  </si>
  <si>
    <t>A - 01.6 Support activities to agriculture and post-harvest crop activities</t>
  </si>
  <si>
    <t>NACE_A016</t>
  </si>
  <si>
    <t>Burma (before 1989-12-15)</t>
  </si>
  <si>
    <t>country:BU</t>
  </si>
  <si>
    <t>A - 01.61 Support activities for crop production</t>
  </si>
  <si>
    <t>NACE_A0161</t>
  </si>
  <si>
    <t>Bouvet Island</t>
  </si>
  <si>
    <t>country:BV</t>
  </si>
  <si>
    <t>A - 01.62 Support activities for animal production</t>
  </si>
  <si>
    <t>NACE_A0162</t>
  </si>
  <si>
    <t>Botswana</t>
  </si>
  <si>
    <t>country:BW</t>
  </si>
  <si>
    <t>A - 01.63 Post-harvest crop activities and seed processing for propagation</t>
  </si>
  <si>
    <t>NACE_A0163</t>
  </si>
  <si>
    <t>Belarus</t>
  </si>
  <si>
    <t>country:BY</t>
  </si>
  <si>
    <t>A - 01.7 Hunting, trapping and related service activities</t>
  </si>
  <si>
    <t>NACE_A017</t>
  </si>
  <si>
    <t>Belize</t>
  </si>
  <si>
    <t>country:BZ</t>
  </si>
  <si>
    <t>A - 01.70 Hunting, trapping and related service activities</t>
  </si>
  <si>
    <t>NACE_A0170</t>
  </si>
  <si>
    <t>Canada</t>
  </si>
  <si>
    <t>country:CA</t>
  </si>
  <si>
    <t>A - 02 Forestry and logging</t>
  </si>
  <si>
    <t>NACE_A02</t>
  </si>
  <si>
    <t>Cocos (Keeling) Islands</t>
  </si>
  <si>
    <t>country:CC</t>
  </si>
  <si>
    <t>A - 02.1 Silviculture and other forestry activities</t>
  </si>
  <si>
    <t>NACE_A021</t>
  </si>
  <si>
    <t>Congo (the Democratic Republic of the)</t>
  </si>
  <si>
    <t>country:CD</t>
  </si>
  <si>
    <t>A - 02.10 Silviculture and other forestry activities</t>
  </si>
  <si>
    <t>NACE_A0210</t>
  </si>
  <si>
    <t>Central African Republic</t>
  </si>
  <si>
    <t>country:CF</t>
  </si>
  <si>
    <t>A - 02.2 Logging</t>
  </si>
  <si>
    <t>NACE_A022</t>
  </si>
  <si>
    <t>Congo</t>
  </si>
  <si>
    <t>country:CG</t>
  </si>
  <si>
    <t>A - 02.20 Logging</t>
  </si>
  <si>
    <t>NACE_A0220</t>
  </si>
  <si>
    <t>Switzerland</t>
  </si>
  <si>
    <t>country:CH</t>
  </si>
  <si>
    <t>A - 02.3 Gathering of wild growing non-wood products</t>
  </si>
  <si>
    <t>NACE_A023</t>
  </si>
  <si>
    <t>Côte d'Ivoire</t>
  </si>
  <si>
    <t>country:CI</t>
  </si>
  <si>
    <t>A - 02.30 Gathering of wild growing non-wood products</t>
  </si>
  <si>
    <t>NACE_A0230</t>
  </si>
  <si>
    <t>Cook Islands</t>
  </si>
  <si>
    <t>country:CK</t>
  </si>
  <si>
    <t>A - 02.4 Support services to forestry</t>
  </si>
  <si>
    <t>NACE_A024</t>
  </si>
  <si>
    <t>Chile</t>
  </si>
  <si>
    <t>country:CL</t>
  </si>
  <si>
    <t>A - 02.40 Support services to forestry</t>
  </si>
  <si>
    <t>NACE_A0240</t>
  </si>
  <si>
    <t>Cameroon</t>
  </si>
  <si>
    <t>country:CM</t>
  </si>
  <si>
    <t>A - 03 Fishing and aquaculture</t>
  </si>
  <si>
    <t>NACE_A03</t>
  </si>
  <si>
    <t>China</t>
  </si>
  <si>
    <t>country:CN</t>
  </si>
  <si>
    <t>A - 03.1 Fishing</t>
  </si>
  <si>
    <t>NACE_A031</t>
  </si>
  <si>
    <t>Colombia</t>
  </si>
  <si>
    <t>country:CO</t>
  </si>
  <si>
    <t>A - 03.11 Marine fishing</t>
  </si>
  <si>
    <t>NACE_A0311</t>
  </si>
  <si>
    <t>Costa Rica</t>
  </si>
  <si>
    <t>country:CR</t>
  </si>
  <si>
    <t>A - 03.12 Freshwater fishing</t>
  </si>
  <si>
    <t>NACE_A0312</t>
  </si>
  <si>
    <t>Serbia and Montenegro (before 2006-09-26)</t>
  </si>
  <si>
    <t>country:CS</t>
  </si>
  <si>
    <t>A - 03.2 Aquaculture</t>
  </si>
  <si>
    <t>NACE_A032</t>
  </si>
  <si>
    <t>Cuba</t>
  </si>
  <si>
    <t>country:CU</t>
  </si>
  <si>
    <t>A - 03.21 Marine aquaculture</t>
  </si>
  <si>
    <t>NACE_A0321</t>
  </si>
  <si>
    <t>Cabo Verde</t>
  </si>
  <si>
    <t>country:CV</t>
  </si>
  <si>
    <t>A - 03.22 Freshwater aquaculture</t>
  </si>
  <si>
    <t>NACE_A0322</t>
  </si>
  <si>
    <t>Curaçao</t>
  </si>
  <si>
    <t>country:CW</t>
  </si>
  <si>
    <t>A - 03.3 Support activities for fishing and aquaculture</t>
  </si>
  <si>
    <t>NACE_A033</t>
  </si>
  <si>
    <t>Christmas Island</t>
  </si>
  <si>
    <t>country:CX</t>
  </si>
  <si>
    <t>A - 03.30 Support activities for fishing and aquaculture</t>
  </si>
  <si>
    <t>NACE_A0330</t>
  </si>
  <si>
    <t>Cyprus</t>
  </si>
  <si>
    <t>country:CY</t>
  </si>
  <si>
    <t>B - MINING AND QUARRYING</t>
  </si>
  <si>
    <t>NACE_B</t>
  </si>
  <si>
    <t>Czechia</t>
  </si>
  <si>
    <t>country:CZ</t>
  </si>
  <si>
    <t>B - 04 Mining of coal and lignite</t>
  </si>
  <si>
    <t>NACE_B04</t>
  </si>
  <si>
    <t>Germany</t>
  </si>
  <si>
    <t>country:DE</t>
  </si>
  <si>
    <t>B - 05.1 Mining of hard coal</t>
  </si>
  <si>
    <t>NACE_B051</t>
  </si>
  <si>
    <t>Djibouti</t>
  </si>
  <si>
    <t>country:DJ</t>
  </si>
  <si>
    <t>B - 05.10 Mining of hard coal</t>
  </si>
  <si>
    <t>NACE_B0510</t>
  </si>
  <si>
    <t>Denmark</t>
  </si>
  <si>
    <t>country:DK</t>
  </si>
  <si>
    <t>B - 05.2 Mining of lignite</t>
  </si>
  <si>
    <t>NACE_B052</t>
  </si>
  <si>
    <t>Dominica</t>
  </si>
  <si>
    <t>country:DM</t>
  </si>
  <si>
    <t>B - 05.20 Mining of lignite</t>
  </si>
  <si>
    <t>NACE_B0520</t>
  </si>
  <si>
    <t>Dominican Republic</t>
  </si>
  <si>
    <t>country:DO</t>
  </si>
  <si>
    <t>B - 05 Extraction of crude petroleum and natural gas</t>
  </si>
  <si>
    <t>NACE_B05</t>
  </si>
  <si>
    <t>Algeria</t>
  </si>
  <si>
    <t>country:DZ</t>
  </si>
  <si>
    <t>B - 06.1 Extraction of crude petroleum</t>
  </si>
  <si>
    <t>NACE_B061</t>
  </si>
  <si>
    <t>Ecuador</t>
  </si>
  <si>
    <t>country:EC</t>
  </si>
  <si>
    <t>B - 06.10 Extraction of crude petroleum</t>
  </si>
  <si>
    <t>NACE_B0610</t>
  </si>
  <si>
    <t>Estonia</t>
  </si>
  <si>
    <t>country:EE</t>
  </si>
  <si>
    <t>B - 06.2 Extraction of natural gas</t>
  </si>
  <si>
    <t>NACE_B062</t>
  </si>
  <si>
    <t>Egypt</t>
  </si>
  <si>
    <t>country:EG</t>
  </si>
  <si>
    <t>B - 06.20 Extraction of natural gas</t>
  </si>
  <si>
    <t>NACE_B0620</t>
  </si>
  <si>
    <t>Western Sahara*</t>
  </si>
  <si>
    <t>country:EH</t>
  </si>
  <si>
    <t>B - 06 Mining of metal ores</t>
  </si>
  <si>
    <t>NACE_B06</t>
  </si>
  <si>
    <t>Eritrea</t>
  </si>
  <si>
    <t>country:ER</t>
  </si>
  <si>
    <t>B - 07.1 Mining of iron ores</t>
  </si>
  <si>
    <t>NACE_B071</t>
  </si>
  <si>
    <t>Spain</t>
  </si>
  <si>
    <t>country:ES</t>
  </si>
  <si>
    <t>B - 07.10 Mining of iron ores</t>
  </si>
  <si>
    <t>NACE_B0710</t>
  </si>
  <si>
    <t>Ethiopia</t>
  </si>
  <si>
    <t>country:ET</t>
  </si>
  <si>
    <t>B - 07.2 Mining of non-ferrous metal ores</t>
  </si>
  <si>
    <t>NACE_B072</t>
  </si>
  <si>
    <t>Finland</t>
  </si>
  <si>
    <t>country:FI</t>
  </si>
  <si>
    <t>B - 07.21 Mining of uranium and thorium ores</t>
  </si>
  <si>
    <t>NACE_B0721</t>
  </si>
  <si>
    <t>Fiji</t>
  </si>
  <si>
    <t>country:FJ</t>
  </si>
  <si>
    <t>B - 07.29 Mining of other non-ferrous metal ores</t>
  </si>
  <si>
    <t>NACE_B0729</t>
  </si>
  <si>
    <t>Falkland Islands (the) [Malvinas]</t>
  </si>
  <si>
    <t>country:FK</t>
  </si>
  <si>
    <t>B - 07 Other mining and quarrying</t>
  </si>
  <si>
    <t>NACE_B07</t>
  </si>
  <si>
    <t>Micronesia (Federated States of)</t>
  </si>
  <si>
    <t>country:FM</t>
  </si>
  <si>
    <t>B - 08.1 Quarrying of stone, sand and clay</t>
  </si>
  <si>
    <t>NACE_B081</t>
  </si>
  <si>
    <t>Faroe Islands</t>
  </si>
  <si>
    <t>country:FO</t>
  </si>
  <si>
    <t>B - 08.11 Quarrying of ornamental stone, limestone, gypsum, slate and other stone</t>
  </si>
  <si>
    <t>NACE_B0811</t>
  </si>
  <si>
    <t>France</t>
  </si>
  <si>
    <t>country:FR</t>
  </si>
  <si>
    <t>B - 08.12 Operation of gravel and sand pits and mining of clay and kaolin</t>
  </si>
  <si>
    <t>NACE_B0812</t>
  </si>
  <si>
    <t>Gabon</t>
  </si>
  <si>
    <t>country:GA</t>
  </si>
  <si>
    <t>B - 08.9 Mining and quarrying n.e.c.</t>
  </si>
  <si>
    <t>NACE_B089</t>
  </si>
  <si>
    <t>United Kingdom of Great Britain and Northern Ireland</t>
  </si>
  <si>
    <t>country:GB</t>
  </si>
  <si>
    <t>B - 08.91 Mining of chemical and fertiliser minerals</t>
  </si>
  <si>
    <t>NACE_B0891</t>
  </si>
  <si>
    <t>Grenada</t>
  </si>
  <si>
    <t>country:GD</t>
  </si>
  <si>
    <t>B - 08.92 Extraction of peat</t>
  </si>
  <si>
    <t>NACE_B0892</t>
  </si>
  <si>
    <t>Georgia</t>
  </si>
  <si>
    <t>country:GE</t>
  </si>
  <si>
    <t>B - 08.93 Extraction of salt</t>
  </si>
  <si>
    <t>NACE_B0893</t>
  </si>
  <si>
    <t>French Guiana</t>
  </si>
  <si>
    <t>country:GF</t>
  </si>
  <si>
    <t>B - 08.99 Other mining and quarrying n.e.c.</t>
  </si>
  <si>
    <t>NACE_B0899</t>
  </si>
  <si>
    <t>Guernsey</t>
  </si>
  <si>
    <t>country:GG</t>
  </si>
  <si>
    <t>B - 08 Mining support service activities</t>
  </si>
  <si>
    <t>NACE_B08</t>
  </si>
  <si>
    <t>Ghana</t>
  </si>
  <si>
    <t>country:GH</t>
  </si>
  <si>
    <t>B - 09.1 Support activities for petroleum and natural gas extraction</t>
  </si>
  <si>
    <t>NACE_B091</t>
  </si>
  <si>
    <t>Gibraltar</t>
  </si>
  <si>
    <t>country:GI</t>
  </si>
  <si>
    <t>B - 09.10 Support activities for petroleum and natural gas extraction</t>
  </si>
  <si>
    <t>NACE_B0910</t>
  </si>
  <si>
    <t>Greenland</t>
  </si>
  <si>
    <t>country:GL</t>
  </si>
  <si>
    <t>B - 09.9 Support activities for other mining and quarrying</t>
  </si>
  <si>
    <t>NACE_B099</t>
  </si>
  <si>
    <t>Gambia</t>
  </si>
  <si>
    <t>country:GM</t>
  </si>
  <si>
    <t>B - 09.90 Support activities for other mining and quarrying</t>
  </si>
  <si>
    <t>NACE_B0990</t>
  </si>
  <si>
    <t>Guinea</t>
  </si>
  <si>
    <t>country:GN</t>
  </si>
  <si>
    <t>C - MANUFACTURING</t>
  </si>
  <si>
    <t>NACE_C</t>
  </si>
  <si>
    <t>Guadeloupe</t>
  </si>
  <si>
    <t>country:GP</t>
  </si>
  <si>
    <t>C - 10 Manufacture of food products</t>
  </si>
  <si>
    <t>NACE_C10</t>
  </si>
  <si>
    <t>Equatorial Guinea</t>
  </si>
  <si>
    <t>country:GQ</t>
  </si>
  <si>
    <t>C - 10.1 Processing and preserving of meat and production of meat products</t>
  </si>
  <si>
    <t>NACE_C101</t>
  </si>
  <si>
    <t>Greece</t>
  </si>
  <si>
    <t>country:GR</t>
  </si>
  <si>
    <t>C - 10.11 Processing and preserving of meat, except of poultry meat</t>
  </si>
  <si>
    <t>NACE_C1011</t>
  </si>
  <si>
    <t>South Georgia and the South Sandwich Islands</t>
  </si>
  <si>
    <t>country:GS</t>
  </si>
  <si>
    <t>C - 10.12 Processing and preserving of poultry meat</t>
  </si>
  <si>
    <t>NACE_C1012</t>
  </si>
  <si>
    <t>Guatemala</t>
  </si>
  <si>
    <t>country:GT</t>
  </si>
  <si>
    <t>C - 10.13 Production of meat and poultry meat products</t>
  </si>
  <si>
    <t>NACE_C1013</t>
  </si>
  <si>
    <t>Guam</t>
  </si>
  <si>
    <t>country:GU</t>
  </si>
  <si>
    <t>C - 10.2 Processing and preserving of fish, crustaceans and molluscs</t>
  </si>
  <si>
    <t>NACE_C102</t>
  </si>
  <si>
    <t>Guinea-Bissau</t>
  </si>
  <si>
    <t>country:GW</t>
  </si>
  <si>
    <t>C - 10.20 Processing and preserving of fish, crustaceans and molluscs</t>
  </si>
  <si>
    <t>NACE_C1020</t>
  </si>
  <si>
    <t>Guyana</t>
  </si>
  <si>
    <t>country:GY</t>
  </si>
  <si>
    <t>C - 10.3 Processing and preserving of fruit and vegetables</t>
  </si>
  <si>
    <t>NACE_C103</t>
  </si>
  <si>
    <t>Hong Kong</t>
  </si>
  <si>
    <t>country:HK</t>
  </si>
  <si>
    <t>C - 10.31 Processing and preserving of potatoes</t>
  </si>
  <si>
    <t>NACE_C1031</t>
  </si>
  <si>
    <t>Heard Island and McDonald Islands</t>
  </si>
  <si>
    <t>country:HM</t>
  </si>
  <si>
    <t>C - 10.32 Manufacture of fruit and vegetable juice</t>
  </si>
  <si>
    <t>NACE_C1032</t>
  </si>
  <si>
    <t>Honduras</t>
  </si>
  <si>
    <t>country:HN</t>
  </si>
  <si>
    <t>C - 10.39 Other processing and preserving of fruit and vegetables</t>
  </si>
  <si>
    <t>NACE_C1039</t>
  </si>
  <si>
    <t>Croatia</t>
  </si>
  <si>
    <t>country:HR</t>
  </si>
  <si>
    <t>C - 10.4 Manufacture of vegetable and animal oils and fats</t>
  </si>
  <si>
    <t>NACE_C104</t>
  </si>
  <si>
    <t>Haiti</t>
  </si>
  <si>
    <t>country:HT</t>
  </si>
  <si>
    <t>C - 10.41 Manufacture of oils and fats</t>
  </si>
  <si>
    <t>NACE_C1041</t>
  </si>
  <si>
    <t>Hungary</t>
  </si>
  <si>
    <t>country:HU</t>
  </si>
  <si>
    <t>C - 10.42 Manufacture of margarine and similar edible fats</t>
  </si>
  <si>
    <t>NACE_C1042</t>
  </si>
  <si>
    <t>Indonesia</t>
  </si>
  <si>
    <t>country:ID</t>
  </si>
  <si>
    <t>C - 10.5 Manufacture of dairy products and edible ice</t>
  </si>
  <si>
    <t>NACE_C105</t>
  </si>
  <si>
    <t>Ireland</t>
  </si>
  <si>
    <t>country:IE</t>
  </si>
  <si>
    <t>C - 10.51 Manufacture of dairy products</t>
  </si>
  <si>
    <t>NACE_C1051</t>
  </si>
  <si>
    <t>Israel</t>
  </si>
  <si>
    <t>country:IL</t>
  </si>
  <si>
    <t>C - 10.52 Manufacture of ice cream and other edible ice</t>
  </si>
  <si>
    <t>NACE_C1052</t>
  </si>
  <si>
    <t>Isle of Man</t>
  </si>
  <si>
    <t>country:IM</t>
  </si>
  <si>
    <t>C - 10.6 Manufacture of grain mill products, starches and starch products</t>
  </si>
  <si>
    <t>NACE_C106</t>
  </si>
  <si>
    <t>India</t>
  </si>
  <si>
    <t>country:IN</t>
  </si>
  <si>
    <t>C - 10.61 Manufacture of grain mill products</t>
  </si>
  <si>
    <t>NACE_C1061</t>
  </si>
  <si>
    <t>British Indian Ocean Territory</t>
  </si>
  <si>
    <t>country:IO</t>
  </si>
  <si>
    <t>C - 10.62 Manufacture of starches and starch products</t>
  </si>
  <si>
    <t>NACE_C1062</t>
  </si>
  <si>
    <t>Iraq</t>
  </si>
  <si>
    <t>country:IQ</t>
  </si>
  <si>
    <t>C - 10.7 Manufacture of bakery and farinaceous products</t>
  </si>
  <si>
    <t>NACE_C107</t>
  </si>
  <si>
    <t>Iran (Islamic Republic of)</t>
  </si>
  <si>
    <t>country:IR</t>
  </si>
  <si>
    <t>C - 10.71 Manufacture of bread; manufacture of fresh pastry goods and cakes</t>
  </si>
  <si>
    <t>NACE_C1071</t>
  </si>
  <si>
    <t>Iceland</t>
  </si>
  <si>
    <t>country:IS</t>
  </si>
  <si>
    <t>C - 10.72 Manufacture of rusks, biscuits, preserved pastries and cakes</t>
  </si>
  <si>
    <t>NACE_C1072</t>
  </si>
  <si>
    <t>Italy</t>
  </si>
  <si>
    <t>country:IT</t>
  </si>
  <si>
    <t>C - 10.73 Manufacture of farinaceous products</t>
  </si>
  <si>
    <t>NACE_C1073</t>
  </si>
  <si>
    <t>Jersey</t>
  </si>
  <si>
    <t>country:JE</t>
  </si>
  <si>
    <t>C - 10.8 Manufacture of other food products</t>
  </si>
  <si>
    <t>NACE_C108</t>
  </si>
  <si>
    <t>Jamaica</t>
  </si>
  <si>
    <t>country:JM</t>
  </si>
  <si>
    <t>C - 10.81 Manufacture of sugar</t>
  </si>
  <si>
    <t>NACE_C1081</t>
  </si>
  <si>
    <t>Jordan</t>
  </si>
  <si>
    <t>country:JO</t>
  </si>
  <si>
    <t>C - 10.82 Manufacture of cocoa, chocolate and sugar confectionery</t>
  </si>
  <si>
    <t>NACE_C1082</t>
  </si>
  <si>
    <t>Japan</t>
  </si>
  <si>
    <t>country:JP</t>
  </si>
  <si>
    <t>C - 10.83 Processing of tea and coffee</t>
  </si>
  <si>
    <t>NACE_C1083</t>
  </si>
  <si>
    <t>Kenya</t>
  </si>
  <si>
    <t>country:KE</t>
  </si>
  <si>
    <t>C - 10.84 Manufacture of condiments and seasonings</t>
  </si>
  <si>
    <t>NACE_C1084</t>
  </si>
  <si>
    <t>Kyrgyzstan</t>
  </si>
  <si>
    <t>country:KG</t>
  </si>
  <si>
    <t>C - 10.85 Manufacture of prepared meals and dishes</t>
  </si>
  <si>
    <t>NACE_C1085</t>
  </si>
  <si>
    <t>Cambodia</t>
  </si>
  <si>
    <t>country:KH</t>
  </si>
  <si>
    <t>C - 10.86 Manufacture of homogenised food preparations and dietetic food</t>
  </si>
  <si>
    <t>NACE_C1086</t>
  </si>
  <si>
    <t>Kiribati</t>
  </si>
  <si>
    <t>country:KI</t>
  </si>
  <si>
    <t>C - 10.89 Manufacture of other food products n.e.c.</t>
  </si>
  <si>
    <t>NACE_C1089</t>
  </si>
  <si>
    <t>Comoros</t>
  </si>
  <si>
    <t>country:KM</t>
  </si>
  <si>
    <t>C - 10.9 Manufacture of prepared animal feeds</t>
  </si>
  <si>
    <t>NACE_C109</t>
  </si>
  <si>
    <t>Saint Kitts and Nevis</t>
  </si>
  <si>
    <t>country:KN</t>
  </si>
  <si>
    <t>C - 10.91 Manufacture of prepared feeds for farm animals</t>
  </si>
  <si>
    <t>NACE_C1091</t>
  </si>
  <si>
    <t>Korea (the Democratic People's Republic of)</t>
  </si>
  <si>
    <t>country:KP</t>
  </si>
  <si>
    <t>C - 10.92 Manufacture of prepared pet foods</t>
  </si>
  <si>
    <t>NACE_C1092</t>
  </si>
  <si>
    <t>Korea (the Republic of)</t>
  </si>
  <si>
    <t>country:KR</t>
  </si>
  <si>
    <t>C - 11 Manufacture of beverages</t>
  </si>
  <si>
    <t>NACE_C11</t>
  </si>
  <si>
    <t>Kuwait</t>
  </si>
  <si>
    <t>country:KW</t>
  </si>
  <si>
    <t>C - 11.0 Manufacture of beverages</t>
  </si>
  <si>
    <t>NACE_C110</t>
  </si>
  <si>
    <t>Cayman Islands</t>
  </si>
  <si>
    <t>country:KY</t>
  </si>
  <si>
    <t>C - 11.01 Distilling, rectifying and blending of spirits</t>
  </si>
  <si>
    <t>NACE_C1101</t>
  </si>
  <si>
    <t>Kazakhstan</t>
  </si>
  <si>
    <t>country:KZ</t>
  </si>
  <si>
    <t>C - 11.02 Manufacture of wine from grape</t>
  </si>
  <si>
    <t>NACE_C1102</t>
  </si>
  <si>
    <t>Lao People's Democratic Republic</t>
  </si>
  <si>
    <t>country:LA</t>
  </si>
  <si>
    <t>C - 11.03 Manufacture of cider and other fermented fruit beverages</t>
  </si>
  <si>
    <t>NACE_C1103</t>
  </si>
  <si>
    <t>Lebanon</t>
  </si>
  <si>
    <t>country:LB</t>
  </si>
  <si>
    <t>C - 11.04 Manufacture of other non-distilled fermented beverages</t>
  </si>
  <si>
    <t>NACE_C1104</t>
  </si>
  <si>
    <t>Saint Lucia</t>
  </si>
  <si>
    <t>country:LC</t>
  </si>
  <si>
    <t>C - 11.05 Manufacture of beer</t>
  </si>
  <si>
    <t>NACE_C1105</t>
  </si>
  <si>
    <t>Liechtenstein</t>
  </si>
  <si>
    <t>country:LI</t>
  </si>
  <si>
    <t>C - 11.06 Manufacture of malt</t>
  </si>
  <si>
    <t>NACE_C1106</t>
  </si>
  <si>
    <t>Sri Lanka</t>
  </si>
  <si>
    <t>country:LK</t>
  </si>
  <si>
    <t>C - 11.07 Manufacture of soft drinks and bottled waters</t>
  </si>
  <si>
    <t>NACE_C1107</t>
  </si>
  <si>
    <t>Liberia</t>
  </si>
  <si>
    <t>country:LR</t>
  </si>
  <si>
    <t>C - 12 Manufacture of tobacco products</t>
  </si>
  <si>
    <t>NACE_C12</t>
  </si>
  <si>
    <t>Lesotho</t>
  </si>
  <si>
    <t>country:LS</t>
  </si>
  <si>
    <t>C - 12.0 Manufacture of tobacco products</t>
  </si>
  <si>
    <t>NACE_C120</t>
  </si>
  <si>
    <t>Lithuania</t>
  </si>
  <si>
    <t>country:LT</t>
  </si>
  <si>
    <t>C - 12.00 Manufacture of tobacco products</t>
  </si>
  <si>
    <t>NACE_C1200</t>
  </si>
  <si>
    <t>Luxembourg</t>
  </si>
  <si>
    <t>country:LU</t>
  </si>
  <si>
    <t>C - 13 Manufacture of textiles</t>
  </si>
  <si>
    <t>NACE_C13</t>
  </si>
  <si>
    <t>Latvia</t>
  </si>
  <si>
    <t>country:LV</t>
  </si>
  <si>
    <t>C - 13.1 Preparation and spinning of textile fibres</t>
  </si>
  <si>
    <t>NACE_C131</t>
  </si>
  <si>
    <t>Libya</t>
  </si>
  <si>
    <t>country:LY</t>
  </si>
  <si>
    <t>C - 13.10 Preparation and spinning of textile fibres</t>
  </si>
  <si>
    <t>NACE_C1310</t>
  </si>
  <si>
    <t>Morocco</t>
  </si>
  <si>
    <t>country:MA</t>
  </si>
  <si>
    <t>C - 13.2 Weaving of textiles</t>
  </si>
  <si>
    <t>NACE_C132</t>
  </si>
  <si>
    <t>Monaco</t>
  </si>
  <si>
    <t>country:MC</t>
  </si>
  <si>
    <t>C - 13.20 Weaving of textiles</t>
  </si>
  <si>
    <t>NACE_C1320</t>
  </si>
  <si>
    <t>Moldova (the Republic of)</t>
  </si>
  <si>
    <t>country:MD</t>
  </si>
  <si>
    <t>C - 13.3 Finishing of textiles</t>
  </si>
  <si>
    <t>NACE_C133</t>
  </si>
  <si>
    <t>Montenegro</t>
  </si>
  <si>
    <t>country:ME</t>
  </si>
  <si>
    <t>C - 13.30 Finishing of textiles</t>
  </si>
  <si>
    <t>NACE_C1330</t>
  </si>
  <si>
    <t>Saint Martin (French part)</t>
  </si>
  <si>
    <t>country:MF</t>
  </si>
  <si>
    <t>C - 13.9 Manufacture of other textiles</t>
  </si>
  <si>
    <t>NACE_C139</t>
  </si>
  <si>
    <t>Madagascar</t>
  </si>
  <si>
    <t>country:MG</t>
  </si>
  <si>
    <t>C - 13.91 Manufacture of knitted and crocheted fabrics</t>
  </si>
  <si>
    <t>NACE_C1391</t>
  </si>
  <si>
    <t>Marshall Islands</t>
  </si>
  <si>
    <t>country:MH</t>
  </si>
  <si>
    <t>C - 13.92 Manufacture of household textiles and made-up furnishing articles</t>
  </si>
  <si>
    <t>NACE_C1392</t>
  </si>
  <si>
    <t>North Macedonia</t>
  </si>
  <si>
    <t>country:MK</t>
  </si>
  <si>
    <t>C - 13.93 Manufacture of carpets and rugs</t>
  </si>
  <si>
    <t>NACE_C1393</t>
  </si>
  <si>
    <t>Mali</t>
  </si>
  <si>
    <t>country:ML</t>
  </si>
  <si>
    <t>C - 13.94 Manufacture of cordage, rope, twine and netting</t>
  </si>
  <si>
    <t>NACE_C1394</t>
  </si>
  <si>
    <t>Myanmar</t>
  </si>
  <si>
    <t>country:MM</t>
  </si>
  <si>
    <t>C - 13.95 Manufacture of non-wovens and non-woven articles</t>
  </si>
  <si>
    <t>NACE_C1395</t>
  </si>
  <si>
    <t>Mongolia</t>
  </si>
  <si>
    <t>country:MN</t>
  </si>
  <si>
    <t>C - 13.96 Manufacture of other technical and industrial textiles</t>
  </si>
  <si>
    <t>NACE_C1396</t>
  </si>
  <si>
    <t>Macao</t>
  </si>
  <si>
    <t>country:MO</t>
  </si>
  <si>
    <t>C - 13.99 Manufacture of other textiles n.e.c.</t>
  </si>
  <si>
    <t>NACE_C1399</t>
  </si>
  <si>
    <t>Northern Mariana Islands</t>
  </si>
  <si>
    <t>country:MP</t>
  </si>
  <si>
    <t>C - 14 Manufacture of wearing apparel</t>
  </si>
  <si>
    <t>NACE_C14</t>
  </si>
  <si>
    <t>Martinique</t>
  </si>
  <si>
    <t>country:MQ</t>
  </si>
  <si>
    <t>C - 14.1 Manufacture of knitted and crocheted apparel</t>
  </si>
  <si>
    <t>NACE_C141</t>
  </si>
  <si>
    <t>Mauritania</t>
  </si>
  <si>
    <t>country:MR</t>
  </si>
  <si>
    <t>C - 14.10 Manufacture of knitted and crocheted apparel</t>
  </si>
  <si>
    <t>NACE_C1410</t>
  </si>
  <si>
    <t>Montserrat</t>
  </si>
  <si>
    <t>country:MS</t>
  </si>
  <si>
    <t>C - 14.2 Manufacture of other wearing apparel and accessories</t>
  </si>
  <si>
    <t>NACE_C142</t>
  </si>
  <si>
    <t>Malta</t>
  </si>
  <si>
    <t>country:MT</t>
  </si>
  <si>
    <t>C - 14.21 Manufacture of outerwear</t>
  </si>
  <si>
    <t>NACE_C1421</t>
  </si>
  <si>
    <t>Mauritius</t>
  </si>
  <si>
    <t>country:MU</t>
  </si>
  <si>
    <t>C - 14.22 Manufacture of underwear</t>
  </si>
  <si>
    <t>NACE_C1422</t>
  </si>
  <si>
    <t>Maldives</t>
  </si>
  <si>
    <t>country:MV</t>
  </si>
  <si>
    <t>C - 14.23 Manufacture of workwear</t>
  </si>
  <si>
    <t>NACE_C1423</t>
  </si>
  <si>
    <t>Malawi</t>
  </si>
  <si>
    <t>country:MW</t>
  </si>
  <si>
    <t>C - 14.24 Manufacture of leather clothes and fur apparel</t>
  </si>
  <si>
    <t>NACE_C1424</t>
  </si>
  <si>
    <t>Mexico</t>
  </si>
  <si>
    <t>country:MX</t>
  </si>
  <si>
    <t>C - 14.29 Manufacture of other wearing apparel and accessories n.e.c.</t>
  </si>
  <si>
    <t>NACE_C1429</t>
  </si>
  <si>
    <t>Malaysia</t>
  </si>
  <si>
    <t>country:MY</t>
  </si>
  <si>
    <t>C - 15 Manufacture of leather and related products of other materials</t>
  </si>
  <si>
    <t>NACE_C15</t>
  </si>
  <si>
    <t>Mozambique</t>
  </si>
  <si>
    <t>country:MZ</t>
  </si>
  <si>
    <t>C - 15.1 Tanning, dyeing, dressing of leather and fur; manufacture of luggage, handbags, saddlery and harness</t>
  </si>
  <si>
    <t>NACE_C151</t>
  </si>
  <si>
    <t>Namibia</t>
  </si>
  <si>
    <t>country:NA</t>
  </si>
  <si>
    <t>C - 15.11 Tanning, dressing, dyeing of leather and fur</t>
  </si>
  <si>
    <t>NACE_C1511</t>
  </si>
  <si>
    <t>New Caledonia</t>
  </si>
  <si>
    <t>country:NC</t>
  </si>
  <si>
    <t>C - 15.12 Manufacture of luggage, handbags, saddlery and harness of any material</t>
  </si>
  <si>
    <t>NACE_C1512</t>
  </si>
  <si>
    <t>Niger</t>
  </si>
  <si>
    <t>country:NE</t>
  </si>
  <si>
    <t>C - 15.2 Manufacture of footwear</t>
  </si>
  <si>
    <t>NACE_C152</t>
  </si>
  <si>
    <t>Norfolk Island</t>
  </si>
  <si>
    <t>country:NF</t>
  </si>
  <si>
    <t>C - 15.20 Manufacture of footwear</t>
  </si>
  <si>
    <t>NACE_C1520</t>
  </si>
  <si>
    <t>Nigeria</t>
  </si>
  <si>
    <t>country:NG</t>
  </si>
  <si>
    <t>C - 16 Manufacture of wood and of products of wood and cork, except furniture; manufacture of articles of straw and plaiting materials</t>
  </si>
  <si>
    <t>NACE_C16</t>
  </si>
  <si>
    <t>Nicaragua</t>
  </si>
  <si>
    <t>country:NI</t>
  </si>
  <si>
    <t>C - 16.1 Sawmilling and planing of wood; processing and finishing of wood</t>
  </si>
  <si>
    <t>NACE_C161</t>
  </si>
  <si>
    <t>Netherlands (Kingdom of the)</t>
  </si>
  <si>
    <t>country:NL</t>
  </si>
  <si>
    <t>C - 16.11 Sawmilling and planing of wood</t>
  </si>
  <si>
    <t>NACE_C1611</t>
  </si>
  <si>
    <t>Norway</t>
  </si>
  <si>
    <t>country:NO</t>
  </si>
  <si>
    <t>C - 16.12 Processing and finishing of wood</t>
  </si>
  <si>
    <t>NACE_C1612</t>
  </si>
  <si>
    <t>Nepal</t>
  </si>
  <si>
    <t>country:NP</t>
  </si>
  <si>
    <t>C - 16.2 Manufacture of products of wood, cork, straw and plaiting materials</t>
  </si>
  <si>
    <t>NACE_C162</t>
  </si>
  <si>
    <t>Nauru</t>
  </si>
  <si>
    <t>country:NR</t>
  </si>
  <si>
    <t>C - 16.21 Manufacture of veneer sheets and wood-based panels</t>
  </si>
  <si>
    <t>NACE_C1621</t>
  </si>
  <si>
    <t>Neutral Zone (before 1993-07-12)</t>
  </si>
  <si>
    <t>country:NT</t>
  </si>
  <si>
    <t>C - 16.22 Manufacture of assembled parquet floors</t>
  </si>
  <si>
    <t>NACE_C1622</t>
  </si>
  <si>
    <t>Niue</t>
  </si>
  <si>
    <t>country:NU</t>
  </si>
  <si>
    <t>C - 16.23 Manufacture of other builders’ carpentry and joinery</t>
  </si>
  <si>
    <t>NACE_C1623</t>
  </si>
  <si>
    <t>New Zealand</t>
  </si>
  <si>
    <t>country:NZ</t>
  </si>
  <si>
    <t>C - 16.24 Manufacture of wooden containers</t>
  </si>
  <si>
    <t>NACE_C1624</t>
  </si>
  <si>
    <t>Oman</t>
  </si>
  <si>
    <t>country:OM</t>
  </si>
  <si>
    <t>C - 16.25 Manufacture of doors and windows of wood</t>
  </si>
  <si>
    <t>NACE_C1625</t>
  </si>
  <si>
    <t>Panama</t>
  </si>
  <si>
    <t>country:PA</t>
  </si>
  <si>
    <t>C - 16.26 Manufacture of solid fuels from vegetable biomass</t>
  </si>
  <si>
    <t>NACE_C1626</t>
  </si>
  <si>
    <t>Peru</t>
  </si>
  <si>
    <t>country:PE</t>
  </si>
  <si>
    <t>C - 16.27 Finishing of wooden products</t>
  </si>
  <si>
    <t>NACE_C1627</t>
  </si>
  <si>
    <t>French Polynesia</t>
  </si>
  <si>
    <t>country:PF</t>
  </si>
  <si>
    <t>C - 16.28 Manufacture of other products of wood and articles of cork, straw and plaiting materials</t>
  </si>
  <si>
    <t>NACE_C1628</t>
  </si>
  <si>
    <t>Papua New Guinea</t>
  </si>
  <si>
    <t>country:PG</t>
  </si>
  <si>
    <t>C - 17 Manufacture of paper and paper products</t>
  </si>
  <si>
    <t>NACE_C17</t>
  </si>
  <si>
    <t>Philippines</t>
  </si>
  <si>
    <t>country:PH</t>
  </si>
  <si>
    <t>C - 17.1 Manufacture of pulp, paper and paperboard</t>
  </si>
  <si>
    <t>NACE_C171</t>
  </si>
  <si>
    <t>Pakistan</t>
  </si>
  <si>
    <t>country:PK</t>
  </si>
  <si>
    <t>C - 17.11 Manufacture of pulp</t>
  </si>
  <si>
    <t>NACE_C1711</t>
  </si>
  <si>
    <t>Poland</t>
  </si>
  <si>
    <t>country:PL</t>
  </si>
  <si>
    <t>C - 17.12 Manufacture of paper and paperboard</t>
  </si>
  <si>
    <t>NACE_C1712</t>
  </si>
  <si>
    <t>Saint Pierre and Miquelon</t>
  </si>
  <si>
    <t>country:PM</t>
  </si>
  <si>
    <t>C - 17.2 Manufacture of articles of paper and paperboard</t>
  </si>
  <si>
    <t>NACE_C172</t>
  </si>
  <si>
    <t>Pitcairn</t>
  </si>
  <si>
    <t>country:PN</t>
  </si>
  <si>
    <t>C - 17.21 Manufacture of corrugated paper, paperboard and containers of paper and paperboard</t>
  </si>
  <si>
    <t>NACE_C1721</t>
  </si>
  <si>
    <t>Puerto Rico</t>
  </si>
  <si>
    <t>country:PR</t>
  </si>
  <si>
    <t>C - 17.22 Manufacture of household and sanitary goods and of toilet requisites</t>
  </si>
  <si>
    <t>NACE_C1722</t>
  </si>
  <si>
    <t>Palestine, State of</t>
  </si>
  <si>
    <t>country:PS</t>
  </si>
  <si>
    <t>C - 17.23 Manufacture of paper stationery</t>
  </si>
  <si>
    <t>NACE_C1723</t>
  </si>
  <si>
    <t>Portugal</t>
  </si>
  <si>
    <t>country:PT</t>
  </si>
  <si>
    <t>C - 17.24 Manufacture of wallpaper</t>
  </si>
  <si>
    <t>NACE_C1724</t>
  </si>
  <si>
    <t>Palau</t>
  </si>
  <si>
    <t>country:PW</t>
  </si>
  <si>
    <t>C - 17.25 Manufacture of other articles of paper and paperboard</t>
  </si>
  <si>
    <t>NACE_C1725</t>
  </si>
  <si>
    <t>Paraguay</t>
  </si>
  <si>
    <t>country:PY</t>
  </si>
  <si>
    <t>C - 18 Printing and reproduction of recorded media</t>
  </si>
  <si>
    <t>NACE_C18</t>
  </si>
  <si>
    <t>Qatar</t>
  </si>
  <si>
    <t>country:QA</t>
  </si>
  <si>
    <t>C - 18.1 Printing and service activities related to printing</t>
  </si>
  <si>
    <t>NACE_C181</t>
  </si>
  <si>
    <t>Réunion</t>
  </si>
  <si>
    <t>country:RE</t>
  </si>
  <si>
    <t>C - 18.11 Printing of newspapers</t>
  </si>
  <si>
    <t>NACE_C1811</t>
  </si>
  <si>
    <t>Romania</t>
  </si>
  <si>
    <t>country:RO</t>
  </si>
  <si>
    <t>C - 18.12 Other printing</t>
  </si>
  <si>
    <t>NACE_C1812</t>
  </si>
  <si>
    <t>Serbia</t>
  </si>
  <si>
    <t>country:RS</t>
  </si>
  <si>
    <t>C - 18.13 Pre-press and pre-media services</t>
  </si>
  <si>
    <t>NACE_C1813</t>
  </si>
  <si>
    <t>Russian Federation</t>
  </si>
  <si>
    <t>country:RU</t>
  </si>
  <si>
    <t>C - 18.14 Binding and related services</t>
  </si>
  <si>
    <t>NACE_C1814</t>
  </si>
  <si>
    <t>Rwanda</t>
  </si>
  <si>
    <t>country:RW</t>
  </si>
  <si>
    <t>C - 18.2 Reproduction of recorded media</t>
  </si>
  <si>
    <t>NACE_C182</t>
  </si>
  <si>
    <t>Saudi Arabia</t>
  </si>
  <si>
    <t>country:SA</t>
  </si>
  <si>
    <t>C - 18.20 Reproduction of recorded media</t>
  </si>
  <si>
    <t>NACE_C1820</t>
  </si>
  <si>
    <t>Solomon Islands</t>
  </si>
  <si>
    <t>country:SB</t>
  </si>
  <si>
    <t>C - 19 Manufacture of coke and refined petroleum products</t>
  </si>
  <si>
    <t>NACE_C19</t>
  </si>
  <si>
    <t>Seychelles</t>
  </si>
  <si>
    <t>country:SC</t>
  </si>
  <si>
    <t>C - 19.1 Manufacture of coke oven products</t>
  </si>
  <si>
    <t>NACE_C191</t>
  </si>
  <si>
    <t>Sudan</t>
  </si>
  <si>
    <t>country:SD</t>
  </si>
  <si>
    <t>C - 19.10 Manufacture of coke oven products</t>
  </si>
  <si>
    <t>NACE_C1910</t>
  </si>
  <si>
    <t>Sweden</t>
  </si>
  <si>
    <t>country:SE</t>
  </si>
  <si>
    <t>C - 19.2 Manufacture of refined petroleum products and fossil fuel products</t>
  </si>
  <si>
    <t>NACE_C192</t>
  </si>
  <si>
    <t>Singapore</t>
  </si>
  <si>
    <t>country:SG</t>
  </si>
  <si>
    <t>C - 19.20 Manufacture of refined petroleum products and fossil fuel products</t>
  </si>
  <si>
    <t>NACE_C1920</t>
  </si>
  <si>
    <t>Saint Helena, Ascension and Tristan da Cunha</t>
  </si>
  <si>
    <t>country:SH</t>
  </si>
  <si>
    <t>C - 20 Manufacture of chemicals and chemical products</t>
  </si>
  <si>
    <t>NACE_C20</t>
  </si>
  <si>
    <t>Slovenia</t>
  </si>
  <si>
    <t>country:SI</t>
  </si>
  <si>
    <t>C - 20.1 Manufacture of basic chemicals, fertilisers and nitrogen compounds, plastics and synthetic rubber in primary forms</t>
  </si>
  <si>
    <t>NACE_C201</t>
  </si>
  <si>
    <t>Svalbard and Jan Mayen</t>
  </si>
  <si>
    <t>country:SJ</t>
  </si>
  <si>
    <t>C - 20.11 Manufacture of industrial gases</t>
  </si>
  <si>
    <t>NACE_C2011</t>
  </si>
  <si>
    <t>Slovakia</t>
  </si>
  <si>
    <t>country:SK</t>
  </si>
  <si>
    <t>C - 20.12 Manufacture of dyes and pigments</t>
  </si>
  <si>
    <t>NACE_C2012</t>
  </si>
  <si>
    <t>Sierra Leone</t>
  </si>
  <si>
    <t>country:SL</t>
  </si>
  <si>
    <t>C - 20.13 Manufacture of other inorganic basic chemicals</t>
  </si>
  <si>
    <t>NACE_C2013</t>
  </si>
  <si>
    <t>San Marino</t>
  </si>
  <si>
    <t>country:SM</t>
  </si>
  <si>
    <t>C - 20.14 Manufacture of other organic basic chemicals</t>
  </si>
  <si>
    <t>NACE_C2014</t>
  </si>
  <si>
    <t>Senegal</t>
  </si>
  <si>
    <t>country:SN</t>
  </si>
  <si>
    <t>C - 20.15 Manufacture of fertilisers and nitrogen compounds</t>
  </si>
  <si>
    <t>NACE_C2015</t>
  </si>
  <si>
    <t>Somalia</t>
  </si>
  <si>
    <t>country:SO</t>
  </si>
  <si>
    <t>C - 20.16 Manufacture of plastics in primary forms</t>
  </si>
  <si>
    <t>NACE_C2016</t>
  </si>
  <si>
    <t>Suriname</t>
  </si>
  <si>
    <t>country:SR</t>
  </si>
  <si>
    <t>C - 20.17 Manufacture of synthetic rubber in primary forms</t>
  </si>
  <si>
    <t>NACE_C2017</t>
  </si>
  <si>
    <t>South Sudan</t>
  </si>
  <si>
    <t>country:SS</t>
  </si>
  <si>
    <t>C - 20.2 Manufacture of pesticides, disinfectants and other agrochemical products</t>
  </si>
  <si>
    <t>NACE_C202</t>
  </si>
  <si>
    <t>Sao Tome and Principe</t>
  </si>
  <si>
    <t>country:ST</t>
  </si>
  <si>
    <t>C - 20.20 Manufacture of pesticides, disinfectants and other agrochemical products</t>
  </si>
  <si>
    <t>NACE_C2020</t>
  </si>
  <si>
    <t>El Salvador</t>
  </si>
  <si>
    <t>country:SV</t>
  </si>
  <si>
    <t>C - 20.3 Manufacture of paints, varnishes and similar coatings, printing ink and mastics</t>
  </si>
  <si>
    <t>NACE_C203</t>
  </si>
  <si>
    <t>Sint Maarten (Dutch part)</t>
  </si>
  <si>
    <t>country:SX</t>
  </si>
  <si>
    <t>C - 20.30 Manufacture of paints, varnishes and similar coatings, printing ink and mastics</t>
  </si>
  <si>
    <t>NACE_C2030</t>
  </si>
  <si>
    <t>Syrian Arab Republic</t>
  </si>
  <si>
    <t>country:SY</t>
  </si>
  <si>
    <t>C - 20.4 Manufacture of washing, cleaning and polishing preparations</t>
  </si>
  <si>
    <t>NACE_C204</t>
  </si>
  <si>
    <t>Eswatini</t>
  </si>
  <si>
    <t>country:SZ</t>
  </si>
  <si>
    <t>C - 20.41 Manufacture of soap and detergents, cleaning and polishing preparations</t>
  </si>
  <si>
    <t>NACE_C2041</t>
  </si>
  <si>
    <t>Turks and Caicos Islands</t>
  </si>
  <si>
    <t>country:TC</t>
  </si>
  <si>
    <t>C - 20.42 Manufacture of perfume and toilet preparations</t>
  </si>
  <si>
    <t>NACE_C2042</t>
  </si>
  <si>
    <t>Chad</t>
  </si>
  <si>
    <t>country:TD</t>
  </si>
  <si>
    <t>C - 20.5 Manufacture of other chemical products</t>
  </si>
  <si>
    <t>NACE_C205</t>
  </si>
  <si>
    <t>French Southern Territories</t>
  </si>
  <si>
    <t>country:TF</t>
  </si>
  <si>
    <t>C - 20.51 Manufacture of liquid biofuels</t>
  </si>
  <si>
    <t>NACE_C2051</t>
  </si>
  <si>
    <t>Togo</t>
  </si>
  <si>
    <t>country:TG</t>
  </si>
  <si>
    <t>C - 20.59 Manufacture of other chemical products n.e.c.</t>
  </si>
  <si>
    <t>NACE_C2059</t>
  </si>
  <si>
    <t>Thailand</t>
  </si>
  <si>
    <t>country:TH</t>
  </si>
  <si>
    <t>C - 20.6 Manufacture of man-made fibres</t>
  </si>
  <si>
    <t>NACE_C206</t>
  </si>
  <si>
    <t>Tajikistan</t>
  </si>
  <si>
    <t>country:TJ</t>
  </si>
  <si>
    <t>C - 20.60 Manufacture of man-made fibres</t>
  </si>
  <si>
    <t>NACE_C2060</t>
  </si>
  <si>
    <t>Tokelau</t>
  </si>
  <si>
    <t>country:TK</t>
  </si>
  <si>
    <t>C - 21 Manufacture of basic pharmaceutical products and pharmaceutical preparations</t>
  </si>
  <si>
    <t>NACE_C21</t>
  </si>
  <si>
    <t>Timor-Leste</t>
  </si>
  <si>
    <t>country:TL</t>
  </si>
  <si>
    <t>C - 21.1 Manufacture of basic pharmaceutical products</t>
  </si>
  <si>
    <t>NACE_C211</t>
  </si>
  <si>
    <t>Turkmenistan</t>
  </si>
  <si>
    <t>country:TM</t>
  </si>
  <si>
    <t>C - 21.10 Manufacture of basic pharmaceutical products</t>
  </si>
  <si>
    <t>NACE_C2110</t>
  </si>
  <si>
    <t>Tunisia</t>
  </si>
  <si>
    <t>country:TN</t>
  </si>
  <si>
    <t>C - 21.2 Manufacture of pharmaceutical preparations</t>
  </si>
  <si>
    <t>NACE_C212</t>
  </si>
  <si>
    <t>Tonga</t>
  </si>
  <si>
    <t>country:TO</t>
  </si>
  <si>
    <t>C - 21.20 Manufacture of pharmaceutical preparations</t>
  </si>
  <si>
    <t>NACE_C2120</t>
  </si>
  <si>
    <t>East Timor (before 2002-05-20)</t>
  </si>
  <si>
    <t>country:TP</t>
  </si>
  <si>
    <t>C - 22 Manufacture of rubber and plastic products</t>
  </si>
  <si>
    <t>NACE_C22</t>
  </si>
  <si>
    <t>Türkiye</t>
  </si>
  <si>
    <t>country:TR</t>
  </si>
  <si>
    <t>C - 22.1 Manufacture of rubber products</t>
  </si>
  <si>
    <t>NACE_C221</t>
  </si>
  <si>
    <t>Trinidad and Tobago</t>
  </si>
  <si>
    <t>country:TT</t>
  </si>
  <si>
    <t>C - 22.11 Manufacture, retreading and rebuilding of rubber tyres and manufacture of tubes</t>
  </si>
  <si>
    <t>NACE_C2211</t>
  </si>
  <si>
    <t>Tuvalu</t>
  </si>
  <si>
    <t>country:TV</t>
  </si>
  <si>
    <t>C - 22.12 Manufacture of other rubber products</t>
  </si>
  <si>
    <t>NACE_C2212</t>
  </si>
  <si>
    <t>Taiwan (Province of China)</t>
  </si>
  <si>
    <t>country:TW</t>
  </si>
  <si>
    <t>C - 22.2 Manufacture of plastic products</t>
  </si>
  <si>
    <t>NACE_C222</t>
  </si>
  <si>
    <t>Tanzania, the United Republic of</t>
  </si>
  <si>
    <t>country:TZ</t>
  </si>
  <si>
    <t>C - 22.21 Manufacture of plastic plates, sheets, tubes and profiles</t>
  </si>
  <si>
    <t>NACE_C2221</t>
  </si>
  <si>
    <t>Ukraine</t>
  </si>
  <si>
    <t>country:UA</t>
  </si>
  <si>
    <t>C - 22.22 Manufacture of plastic packing goods</t>
  </si>
  <si>
    <t>NACE_C2222</t>
  </si>
  <si>
    <t>Uganda</t>
  </si>
  <si>
    <t>country:UG</t>
  </si>
  <si>
    <t>C - 22.23 Manufacture of doors and windows of plastic</t>
  </si>
  <si>
    <t>NACE_C2223</t>
  </si>
  <si>
    <t>United States Minor Outlying Islands</t>
  </si>
  <si>
    <t>country:UM</t>
  </si>
  <si>
    <t>C - 22.24 Manufacture of builders’ ware of plastic</t>
  </si>
  <si>
    <t>NACE_C2224</t>
  </si>
  <si>
    <t>United States of America</t>
  </si>
  <si>
    <t>country:US</t>
  </si>
  <si>
    <t>C - 22.25 Processing and finishing of plastic products</t>
  </si>
  <si>
    <t>NACE_C2225</t>
  </si>
  <si>
    <t>Uruguay</t>
  </si>
  <si>
    <t>country:UY</t>
  </si>
  <si>
    <t>C - 22.26 Manufacture of other plastic products</t>
  </si>
  <si>
    <t>NACE_C2226</t>
  </si>
  <si>
    <t>Uzbekistan</t>
  </si>
  <si>
    <t>country:UZ</t>
  </si>
  <si>
    <t>C - 23 Manufacture of other non-metallic mineral products</t>
  </si>
  <si>
    <t>NACE_C23</t>
  </si>
  <si>
    <t>Holy See</t>
  </si>
  <si>
    <t>country:VA</t>
  </si>
  <si>
    <t>C - 23.1 Manufacture of glass and glass products</t>
  </si>
  <si>
    <t>NACE_C231</t>
  </si>
  <si>
    <t>Saint Vincent and the Grenadines</t>
  </si>
  <si>
    <t>country:VC</t>
  </si>
  <si>
    <t>C - 23.11 Manufacture of flat glass</t>
  </si>
  <si>
    <t>NACE_C2311</t>
  </si>
  <si>
    <t>Venezuela (Bolivarian Republic of)</t>
  </si>
  <si>
    <t>country:VE</t>
  </si>
  <si>
    <t>C - 23.12 Shaping and processing of flat glass</t>
  </si>
  <si>
    <t>NACE_C2312</t>
  </si>
  <si>
    <t>Virgin Islands (British)</t>
  </si>
  <si>
    <t>country:VG</t>
  </si>
  <si>
    <t>C - 23.13 Manufacture of hollow glass</t>
  </si>
  <si>
    <t>NACE_C2313</t>
  </si>
  <si>
    <t>Virgin Islands (U.S.)</t>
  </si>
  <si>
    <t>country:VI</t>
  </si>
  <si>
    <t>C - 23.14 Manufacture of glass fibres</t>
  </si>
  <si>
    <t>NACE_C2314</t>
  </si>
  <si>
    <t>Viet Nam</t>
  </si>
  <si>
    <t>country:VN</t>
  </si>
  <si>
    <t>C - 23.15 Manufacture and processing of other glass, including technical glassware</t>
  </si>
  <si>
    <t>NACE_C2315</t>
  </si>
  <si>
    <t>Vanuatu</t>
  </si>
  <si>
    <t>country:VU</t>
  </si>
  <si>
    <t>C - 23.2 Manufacture of refractory products</t>
  </si>
  <si>
    <t>NACE_C232</t>
  </si>
  <si>
    <t>Wallis and Futuna</t>
  </si>
  <si>
    <t>country:WF</t>
  </si>
  <si>
    <t>C - 23.20 Manufacture of refractory products</t>
  </si>
  <si>
    <t>NACE_C2320</t>
  </si>
  <si>
    <t>Samoa</t>
  </si>
  <si>
    <t>country:WS</t>
  </si>
  <si>
    <t>C - 23.3 Manufacture of clay building materials</t>
  </si>
  <si>
    <t>NACE_C233</t>
  </si>
  <si>
    <t>Yemen</t>
  </si>
  <si>
    <t>country:YE</t>
  </si>
  <si>
    <t>C - 23.31 Manufacture of ceramic tiles and flags</t>
  </si>
  <si>
    <t>NACE_C2331</t>
  </si>
  <si>
    <t>Mayotte</t>
  </si>
  <si>
    <t>country:YT</t>
  </si>
  <si>
    <t>C - 23.32 Manufacture of bricks, tiles and construction products, in baked clay</t>
  </si>
  <si>
    <t>NACE_C2332</t>
  </si>
  <si>
    <t>Yugoslavia (before 2003-07-23)</t>
  </si>
  <si>
    <t>country:YU</t>
  </si>
  <si>
    <t>C - 23.4 Manufacture of other porcelain and ceramic products</t>
  </si>
  <si>
    <t>NACE_C234</t>
  </si>
  <si>
    <t>South Africa</t>
  </si>
  <si>
    <t>country:ZA</t>
  </si>
  <si>
    <t>C - 23.41 Manufacture of ceramic household and ornamental articles</t>
  </si>
  <si>
    <t>NACE_C2341</t>
  </si>
  <si>
    <t>Zambia</t>
  </si>
  <si>
    <t>country:ZM</t>
  </si>
  <si>
    <t>C - 23.42 Manufacture of ceramic sanitary fixtures</t>
  </si>
  <si>
    <t>NACE_C2342</t>
  </si>
  <si>
    <t>Zaire (before 1997-07-14)</t>
  </si>
  <si>
    <t>country:ZR</t>
  </si>
  <si>
    <t>C - 23.43 Manufacture of ceramic insulators and insulating fittings</t>
  </si>
  <si>
    <t>NACE_C2343</t>
  </si>
  <si>
    <t>Zimbabwe</t>
  </si>
  <si>
    <t>country:ZW</t>
  </si>
  <si>
    <t>C - 23.44 Manufacture of other technical ceramic products</t>
  </si>
  <si>
    <t>NACE_C2344</t>
  </si>
  <si>
    <t>C - 23.45 Manufacture of other ceramic products</t>
  </si>
  <si>
    <t>NACE_C2345</t>
  </si>
  <si>
    <t>C - 23.5 Manufacture of cement, lime and plaster</t>
  </si>
  <si>
    <t>NACE_C235</t>
  </si>
  <si>
    <t>C - 23.51 Manufacture of cement</t>
  </si>
  <si>
    <t>NACE_C2351</t>
  </si>
  <si>
    <t>C - 23.52 Manufacture of lime and plaster</t>
  </si>
  <si>
    <t>NACE_C2352</t>
  </si>
  <si>
    <t>C - 23.6 Manufacture of articles of concrete, cement and plaster</t>
  </si>
  <si>
    <t>NACE_C236</t>
  </si>
  <si>
    <t>C - 23.61 Manufacture of concrete products for construction purposes</t>
  </si>
  <si>
    <t>NACE_C2361</t>
  </si>
  <si>
    <t>C - 23.62 Manufacture of plaster products for construction purposes</t>
  </si>
  <si>
    <t>NACE_C2362</t>
  </si>
  <si>
    <t>C - 23.63 Manufacture of ready-mixed concrete</t>
  </si>
  <si>
    <t>NACE_C2363</t>
  </si>
  <si>
    <t>C - 23.64 Manufacture of mortars</t>
  </si>
  <si>
    <t>NACE_C2364</t>
  </si>
  <si>
    <t>C - 23.65 Manufacture of fibre cement</t>
  </si>
  <si>
    <t>NACE_C2365</t>
  </si>
  <si>
    <t>C - 23.66 Manufacture of other articles of concrete, cement and plaster</t>
  </si>
  <si>
    <t>NACE_C2366</t>
  </si>
  <si>
    <t>C - 23.7 Cutting, shaping and finishing of stone</t>
  </si>
  <si>
    <t>NACE_C237</t>
  </si>
  <si>
    <t>C - 23.70 Cutting, shaping and finishing of stone</t>
  </si>
  <si>
    <t>NACE_C2370</t>
  </si>
  <si>
    <t>C - 23.9 Manufacture of abrasive products and non-metallic mineral products n.e.c.</t>
  </si>
  <si>
    <t>NACE_C239</t>
  </si>
  <si>
    <t>C - 23.91 Manufacture of abrasive products</t>
  </si>
  <si>
    <t>NACE_C2391</t>
  </si>
  <si>
    <t>C - 23.99 Manufacture of other non-metallic mineral products n.e.c.</t>
  </si>
  <si>
    <t>NACE_C2399</t>
  </si>
  <si>
    <t>C - 24 Manufacture of basic metals</t>
  </si>
  <si>
    <t>NACE_C24</t>
  </si>
  <si>
    <t>C - 24.1 Manufacture of basic iron and steel and of ferro-alloys</t>
  </si>
  <si>
    <t>NACE_C241</t>
  </si>
  <si>
    <t>C - 24.10 Manufacture of basic iron and steel and of ferro-alloys</t>
  </si>
  <si>
    <t>NACE_C2410</t>
  </si>
  <si>
    <t>C - 24.2 Manufacture of tubes, pipes, hollow profiles and related fittings, of steel</t>
  </si>
  <si>
    <t>NACE_C242</t>
  </si>
  <si>
    <t>C - 24.20 Manufacture of tubes, pipes, hollow profiles and related fittings, of steel</t>
  </si>
  <si>
    <t>NACE_C2420</t>
  </si>
  <si>
    <t>C - 24.3 Manufacture of other products of first processing of steel</t>
  </si>
  <si>
    <t>NACE_C243</t>
  </si>
  <si>
    <t>C - 24.31 Cold drawing of bars</t>
  </si>
  <si>
    <t>NACE_C2431</t>
  </si>
  <si>
    <t>C - 24.32 Cold rolling of narrow strip</t>
  </si>
  <si>
    <t>NACE_C2432</t>
  </si>
  <si>
    <t>C - 24.33 Cold forming or folding</t>
  </si>
  <si>
    <t>NACE_C2433</t>
  </si>
  <si>
    <t>C - 24.34 Cold drawing of wire</t>
  </si>
  <si>
    <t>NACE_C2434</t>
  </si>
  <si>
    <t>C - 24.4 Manufacture of basic precious and other non-ferrous metals</t>
  </si>
  <si>
    <t>NACE_C244</t>
  </si>
  <si>
    <t>C - 24.41 Precious metals production</t>
  </si>
  <si>
    <t>NACE_C2441</t>
  </si>
  <si>
    <t>C - 24.42 Aluminium production</t>
  </si>
  <si>
    <t>NACE_C2442</t>
  </si>
  <si>
    <t>C - 24.43 Lead, zinc and tin production</t>
  </si>
  <si>
    <t>NACE_C2443</t>
  </si>
  <si>
    <t>C - 24.44 Copper production</t>
  </si>
  <si>
    <t>NACE_C2444</t>
  </si>
  <si>
    <t>C - 24.45 Other non-ferrous metal production</t>
  </si>
  <si>
    <t>NACE_C2445</t>
  </si>
  <si>
    <t>C - 24.46 Processing of nuclear fuel</t>
  </si>
  <si>
    <t>NACE_C2446</t>
  </si>
  <si>
    <t>C - 24.5 Casting of metals</t>
  </si>
  <si>
    <t>NACE_C245</t>
  </si>
  <si>
    <t>C - 24.51 Casting of iron</t>
  </si>
  <si>
    <t>NACE_C2451</t>
  </si>
  <si>
    <t>C - 24.52 Casting of steel</t>
  </si>
  <si>
    <t>NACE_C2452</t>
  </si>
  <si>
    <t>C - 24.53 Casting of light metals</t>
  </si>
  <si>
    <t>NACE_C2453</t>
  </si>
  <si>
    <t>C - 24.54 Casting of other non-ferrous metals</t>
  </si>
  <si>
    <t>NACE_C2454</t>
  </si>
  <si>
    <t>C - 25 Manufacture of fabricated metal products, except machinery and equipment</t>
  </si>
  <si>
    <t>NACE_C25</t>
  </si>
  <si>
    <t>C - 25.1 Manufacture of structural metal products</t>
  </si>
  <si>
    <t>NACE_C251</t>
  </si>
  <si>
    <t>C - 25.11 Manufacture of metal structures and parts of structures</t>
  </si>
  <si>
    <t>NACE_C2511</t>
  </si>
  <si>
    <t>C - 25.12 Manufacture of doors and windows of metal</t>
  </si>
  <si>
    <t>NACE_C2512</t>
  </si>
  <si>
    <t>C - 25.2 Manufacture of tanks, reservoirs and containers of metal</t>
  </si>
  <si>
    <t>NACE_C252</t>
  </si>
  <si>
    <t>C - 25.21 Manufacture of central heating radiators, steam generators and boilers</t>
  </si>
  <si>
    <t>NACE_C2521</t>
  </si>
  <si>
    <t>C - 25.22 Manufacture of other tanks, reservoirs and containers of metal</t>
  </si>
  <si>
    <t>NACE_C2522</t>
  </si>
  <si>
    <t>C - 25.3 Manufacture of weapons and ammunition</t>
  </si>
  <si>
    <t>NACE_C253</t>
  </si>
  <si>
    <t>C - 25.30 Manufacture of weapons and ammunition</t>
  </si>
  <si>
    <t>NACE_C2530</t>
  </si>
  <si>
    <t>C - 25.4 Forging and shaping metal and powder metallurgy</t>
  </si>
  <si>
    <t>NACE_C254</t>
  </si>
  <si>
    <t>C - 25.40 Forging and shaping metal and powder metallurgy</t>
  </si>
  <si>
    <t>NACE_C2540</t>
  </si>
  <si>
    <t>C - 25.5 Treatment and coating of metals; machining</t>
  </si>
  <si>
    <t>NACE_C255</t>
  </si>
  <si>
    <t>C - 25.51 Coating of metals</t>
  </si>
  <si>
    <t>NACE_C2551</t>
  </si>
  <si>
    <t>C - 25.52 Heat treatment of metals</t>
  </si>
  <si>
    <t>NACE_C2552</t>
  </si>
  <si>
    <t>C - 25.53 Machining of metals</t>
  </si>
  <si>
    <t>NACE_C2553</t>
  </si>
  <si>
    <t>C - 25.6 Manufacture of cutlery, tools and general hardware</t>
  </si>
  <si>
    <t>NACE_C256</t>
  </si>
  <si>
    <t>C - 25.61 Manufacture of cutlery</t>
  </si>
  <si>
    <t>NACE_C2561</t>
  </si>
  <si>
    <t>C - 25.62 Manufacture of locks and hinges</t>
  </si>
  <si>
    <t>NACE_C2562</t>
  </si>
  <si>
    <t>C - 25.63 Manufacture of tools</t>
  </si>
  <si>
    <t>NACE_C2563</t>
  </si>
  <si>
    <t>C - 25.9 Manufacture of other fabricated metal products</t>
  </si>
  <si>
    <t>NACE_C259</t>
  </si>
  <si>
    <t>C - 25.91 Manufacture of steel drums and similar containers</t>
  </si>
  <si>
    <t>NACE_C2591</t>
  </si>
  <si>
    <t>C - 25.92 Manufacture of light metal packaging</t>
  </si>
  <si>
    <t>NACE_C2592</t>
  </si>
  <si>
    <t>C - 25.93 Manufacture of wire products, chain and springs</t>
  </si>
  <si>
    <t>NACE_C2593</t>
  </si>
  <si>
    <t>C - 25.94 Manufacture of fasteners and screw machine products</t>
  </si>
  <si>
    <t>NACE_C2594</t>
  </si>
  <si>
    <t>C - 25.99 Manufacture of other fabricated metal products n.e.c.</t>
  </si>
  <si>
    <t>NACE_C2599</t>
  </si>
  <si>
    <t>C - 26 Manufacture of computer, electronic and optical products</t>
  </si>
  <si>
    <t>NACE_C26</t>
  </si>
  <si>
    <t>C - 26.1 Manufacture of electronic components and boards</t>
  </si>
  <si>
    <t>NACE_C261</t>
  </si>
  <si>
    <t>C - 26.11 Manufacture of electronic components</t>
  </si>
  <si>
    <t>NACE_C2611</t>
  </si>
  <si>
    <t>C - 26.12 Manufacture of loaded electronic boards</t>
  </si>
  <si>
    <t>NACE_C2612</t>
  </si>
  <si>
    <t>C - 26.2 Manufacture of computers and peripheral equipment</t>
  </si>
  <si>
    <t>NACE_C262</t>
  </si>
  <si>
    <t>C - 26.20 Manufacture of computers and peripheral equipment</t>
  </si>
  <si>
    <t>NACE_C2620</t>
  </si>
  <si>
    <t>C - 26.3 Manufacture of communication equipment</t>
  </si>
  <si>
    <t>NACE_C263</t>
  </si>
  <si>
    <t>C - 26.30 Manufacture of communication equipment</t>
  </si>
  <si>
    <t>NACE_C2630</t>
  </si>
  <si>
    <t>C - 26.4 Manufacture of consumer electronics</t>
  </si>
  <si>
    <t>NACE_C264</t>
  </si>
  <si>
    <t>C - 26.40 Manufacture of consumer electronics</t>
  </si>
  <si>
    <t>NACE_C2640</t>
  </si>
  <si>
    <t>C - 26.5 Manufacture of measuring testing instruments, clocks and watches</t>
  </si>
  <si>
    <t>NACE_C265</t>
  </si>
  <si>
    <t>C - 26.51 Manufacture of instruments and appliances for measuring, testing and navigation</t>
  </si>
  <si>
    <t>NACE_C2651</t>
  </si>
  <si>
    <t>C - 26.52 Manufacture of watches and clocks</t>
  </si>
  <si>
    <t>NACE_C2652</t>
  </si>
  <si>
    <t>C - 26.6 Manufacture of irradiation, electromedical and electrotherapeutic equipment</t>
  </si>
  <si>
    <t>NACE_C266</t>
  </si>
  <si>
    <t>C - 26.60 Manufacture of irradiation, electromedical and electrotherapeutic equipment</t>
  </si>
  <si>
    <t>NACE_C2660</t>
  </si>
  <si>
    <t>C - 26.7 Manufacture of optical instruments, magnetic and optical media and photographic equipment</t>
  </si>
  <si>
    <t>NACE_C267</t>
  </si>
  <si>
    <t>C - 26.70 Manufacture of optical instruments, magnetic and optical media and photographic equipment</t>
  </si>
  <si>
    <t>NACE_C2670</t>
  </si>
  <si>
    <t>C - 27 Manufacture of electrical equipment</t>
  </si>
  <si>
    <t>NACE_C27</t>
  </si>
  <si>
    <t>C - 27.1 Manufacture of electric motors, generators, transformers and electricity distribution and control apparatus</t>
  </si>
  <si>
    <t>NACE_C271</t>
  </si>
  <si>
    <t>C - 27.11 Manufacture of electric motors, generators and transformers</t>
  </si>
  <si>
    <t>NACE_C2711</t>
  </si>
  <si>
    <t>C - 27.12 Manufacture of electricity distribution and control apparatus</t>
  </si>
  <si>
    <t>NACE_C2712</t>
  </si>
  <si>
    <t>C - 27.2 Manufacture of batteries and accumulators</t>
  </si>
  <si>
    <t>NACE_C272</t>
  </si>
  <si>
    <t>C - 27.20 Manufacture of batteries and accumulators</t>
  </si>
  <si>
    <t>NACE_C2720</t>
  </si>
  <si>
    <t>C - 27.3 Manufacture of wiring and wiring devices</t>
  </si>
  <si>
    <t>NACE_C273</t>
  </si>
  <si>
    <t>C - 27.31 Manufacture of fibre optic cables</t>
  </si>
  <si>
    <t>NACE_C2731</t>
  </si>
  <si>
    <t>C - 27.32 Manufacture of other electronic and electric wires and cables</t>
  </si>
  <si>
    <t>NACE_C2732</t>
  </si>
  <si>
    <t>C - 27.33 Manufacture of wiring devices</t>
  </si>
  <si>
    <t>NACE_C2733</t>
  </si>
  <si>
    <t>C - 27.4 Manufacture of lighting equipment</t>
  </si>
  <si>
    <t>NACE_C274</t>
  </si>
  <si>
    <t>C - 27.40 Manufacture of lighting equipment</t>
  </si>
  <si>
    <t>NACE_C2740</t>
  </si>
  <si>
    <t>C - 27.5 Manufacture of domestic appliances</t>
  </si>
  <si>
    <t>NACE_C275</t>
  </si>
  <si>
    <t>C - 27.51 Manufacture of electric domestic appliances</t>
  </si>
  <si>
    <t>NACE_C2751</t>
  </si>
  <si>
    <t>C - 27.52 Manufacture of non-electric domestic appliances</t>
  </si>
  <si>
    <t>NACE_C2752</t>
  </si>
  <si>
    <t>C - 27.9 Manufacture of other electrical equipment</t>
  </si>
  <si>
    <t>NACE_C279</t>
  </si>
  <si>
    <t>C - 27.90 Manufacture of other electrical equipment</t>
  </si>
  <si>
    <t>NACE_C2790</t>
  </si>
  <si>
    <t>C - 28 Manufacture of machinery and equipment n.e.c.</t>
  </si>
  <si>
    <t>NACE_C28</t>
  </si>
  <si>
    <t>C - 28.1 Manufacture of general-purpose machinery</t>
  </si>
  <si>
    <t>NACE_C281</t>
  </si>
  <si>
    <t>C - 28.11 Manufacture of engines and turbines, except aircraft, vehicle and cycle engines</t>
  </si>
  <si>
    <t>NACE_C2811</t>
  </si>
  <si>
    <t>C - 28.12 Manufacture of fluid power equipment</t>
  </si>
  <si>
    <t>NACE_C2812</t>
  </si>
  <si>
    <t>C - 28.13 Manufacture of other pumps and compressors</t>
  </si>
  <si>
    <t>NACE_C2813</t>
  </si>
  <si>
    <t>C - 28.14 Manufacture of other taps and valves</t>
  </si>
  <si>
    <t>NACE_C2814</t>
  </si>
  <si>
    <t>C - 28.15 Manufacture of bearings, gears, gearing and driving elements</t>
  </si>
  <si>
    <t>NACE_C2815</t>
  </si>
  <si>
    <t>C - 28.2 Manufacture of other general-purpose machinery</t>
  </si>
  <si>
    <t>NACE_C282</t>
  </si>
  <si>
    <t>C - 28.21 Manufacture of ovens, furnaces and permanent household heating equipment</t>
  </si>
  <si>
    <t>NACE_C2821</t>
  </si>
  <si>
    <t>C - 28.22 Manufacture of lifting and handling equipment</t>
  </si>
  <si>
    <t>NACE_C2822</t>
  </si>
  <si>
    <t>C - 28.23 Manufacture of office machinery and equipment, except computers and peripheral equipment</t>
  </si>
  <si>
    <t>NACE_C2823</t>
  </si>
  <si>
    <t>C - 28.24 Manufacture of power-driven hand tools</t>
  </si>
  <si>
    <t>NACE_C2824</t>
  </si>
  <si>
    <t>C - 28.25 Manufacture of non-domestic air conditioning equipment</t>
  </si>
  <si>
    <t>NACE_C2825</t>
  </si>
  <si>
    <t>C - 28.29 Manufacture of other general-purpose machinery n.e.c.</t>
  </si>
  <si>
    <t>NACE_C2829</t>
  </si>
  <si>
    <t>C - 28.3 Manufacture of agricultural and forestry machinery</t>
  </si>
  <si>
    <t>NACE_C283</t>
  </si>
  <si>
    <t>C - 28.30 Manufacture of agricultural and forestry machinery</t>
  </si>
  <si>
    <t>NACE_C2830</t>
  </si>
  <si>
    <t>C - 28.4 Manufacture of metal forming machinery and machine tools</t>
  </si>
  <si>
    <t>NACE_C284</t>
  </si>
  <si>
    <t>C - 28.41 Manufacture of metal forming machinery and machine tools for metal work</t>
  </si>
  <si>
    <t>NACE_C2841</t>
  </si>
  <si>
    <t>C - 28.42 Manufacture of other machine tools</t>
  </si>
  <si>
    <t>NACE_C2842</t>
  </si>
  <si>
    <t>C - 28.9 Manufacture of other special-purpose machinery</t>
  </si>
  <si>
    <t>NACE_C289</t>
  </si>
  <si>
    <t>C - 28.91 Manufacture of machinery for metallurgy</t>
  </si>
  <si>
    <t>NACE_C2891</t>
  </si>
  <si>
    <t>C - 28.92 Manufacture of machinery for mining, quarrying and construction</t>
  </si>
  <si>
    <t>NACE_C2892</t>
  </si>
  <si>
    <t>C - 28.93 Manufacture of machinery for food, beverage and tobacco processing</t>
  </si>
  <si>
    <t>NACE_C2893</t>
  </si>
  <si>
    <t>C - 28.94 Manufacture of machinery for textile, apparel and leather production</t>
  </si>
  <si>
    <t>NACE_C2894</t>
  </si>
  <si>
    <t>C - 28.95 Manufacture of machinery for paper and paperboard production</t>
  </si>
  <si>
    <t>NACE_C2895</t>
  </si>
  <si>
    <t>C - 28.96 Manufacture of plastics and rubber machinery</t>
  </si>
  <si>
    <t>NACE_C2896</t>
  </si>
  <si>
    <t>C - 28.97 Manufacture of additive manufacturing machinery</t>
  </si>
  <si>
    <t>NACE_C2897</t>
  </si>
  <si>
    <t>C - 28.99 Manufacture of other special-purpose machinery n.e.c.</t>
  </si>
  <si>
    <t>NACE_C2899</t>
  </si>
  <si>
    <t>C - 29 Manufacture of motor vehicles, trailers and semi-trailers</t>
  </si>
  <si>
    <t>NACE_C29</t>
  </si>
  <si>
    <t>C - 29.1 Manufacture of motor vehicles</t>
  </si>
  <si>
    <t>NACE_C291</t>
  </si>
  <si>
    <t>C - 29.10 Manufacture of motor vehicles</t>
  </si>
  <si>
    <t>NACE_C2910</t>
  </si>
  <si>
    <t>C - 29.2 Manufacture of bodies and coachwork for motor vehicles; manufacture of trailers and semi-trailers</t>
  </si>
  <si>
    <t>NACE_C292</t>
  </si>
  <si>
    <t>C - 29.20 Manufacture of bodies and coachwork for motor vehicles; manufacture of trailers and semi-trailers</t>
  </si>
  <si>
    <t>NACE_C2920</t>
  </si>
  <si>
    <t>C - 29.3 Manufacture of motor vehicle parts and accessories</t>
  </si>
  <si>
    <t>NACE_C293</t>
  </si>
  <si>
    <t>C - 29.31 Manufacture of electrical and electronic equipment for motor vehicles</t>
  </si>
  <si>
    <t>NACE_C2931</t>
  </si>
  <si>
    <t>C - 29.32 Manufacture of other parts and accessories for motor vehicles</t>
  </si>
  <si>
    <t>NACE_C2932</t>
  </si>
  <si>
    <t>C - 30 Manufacture of other transport equipment</t>
  </si>
  <si>
    <t>NACE_C30</t>
  </si>
  <si>
    <t>C - 30.1 Building of ships and boats</t>
  </si>
  <si>
    <t>NACE_C301</t>
  </si>
  <si>
    <t>C - 30.11 Building of civilian ships and floating structures</t>
  </si>
  <si>
    <t>NACE_C3011</t>
  </si>
  <si>
    <t>C - 30.12 Building of pleasure and sporting boats</t>
  </si>
  <si>
    <t>NACE_C3012</t>
  </si>
  <si>
    <t>C - 30.13 Building of military ships and vessels</t>
  </si>
  <si>
    <t>NACE_C3013</t>
  </si>
  <si>
    <t>C - 30.2 Manufacture of railway locomotives and rolling stock</t>
  </si>
  <si>
    <t>NACE_C302</t>
  </si>
  <si>
    <t>C - 30.20 Manufacture of railway locomotives and rolling stock</t>
  </si>
  <si>
    <t>NACE_C3020</t>
  </si>
  <si>
    <t>C - 30.3 Manufacture of air and spacecraft and related machinery</t>
  </si>
  <si>
    <t>NACE_C303</t>
  </si>
  <si>
    <t>C - 30.31 Manufacture of civilian air and spacecraft and related machinery</t>
  </si>
  <si>
    <t>NACE_C3031</t>
  </si>
  <si>
    <t>C - 30.32 Manufacture of military air and spacecraft and related machinery</t>
  </si>
  <si>
    <t>NACE_C3032</t>
  </si>
  <si>
    <t>C - 30.4 Manufacture of military fighting vehicles</t>
  </si>
  <si>
    <t>NACE_C304</t>
  </si>
  <si>
    <t>C - 30.40 Manufacture of military fighting vehicles</t>
  </si>
  <si>
    <t>NACE_C3040</t>
  </si>
  <si>
    <t>C - 30.9 Manufacture of transport equipment n.e.c.</t>
  </si>
  <si>
    <t>NACE_C309</t>
  </si>
  <si>
    <t>C - 30.91 Manufacture of motorcycles</t>
  </si>
  <si>
    <t>NACE_C3091</t>
  </si>
  <si>
    <t>C - 30.92 Manufacture of bicycles and invalid carriages</t>
  </si>
  <si>
    <t>NACE_C3092</t>
  </si>
  <si>
    <t>C - 30.99 Manufacture of other transport equipment n.e.c.</t>
  </si>
  <si>
    <t>NACE_C3099</t>
  </si>
  <si>
    <t>C - 31 Manufacture of furniture</t>
  </si>
  <si>
    <t>NACE_C31</t>
  </si>
  <si>
    <t>C - 31.0 Manufacture of furniture</t>
  </si>
  <si>
    <t>NACE_C310</t>
  </si>
  <si>
    <t>C - 31.00 Manufacture of furniture</t>
  </si>
  <si>
    <t>NACE_C3100</t>
  </si>
  <si>
    <t>C - 32 Other manufacturing</t>
  </si>
  <si>
    <t>NACE_C32</t>
  </si>
  <si>
    <t>C - 32.1 Manufacture of jewellery, bijouterie and related articles</t>
  </si>
  <si>
    <t>NACE_C321</t>
  </si>
  <si>
    <t>C - 32.11 Striking of coins</t>
  </si>
  <si>
    <t>NACE_C3211</t>
  </si>
  <si>
    <t>C - 32.12 Manufacture of jewellery and related articles</t>
  </si>
  <si>
    <t>NACE_C3212</t>
  </si>
  <si>
    <t>C - 32.13 Manufacture of imitation jewellery and related articles</t>
  </si>
  <si>
    <t>NACE_C3213</t>
  </si>
  <si>
    <t>C - 32.2 Manufacture of musical instruments</t>
  </si>
  <si>
    <t>NACE_C322</t>
  </si>
  <si>
    <t>C - 32.20 Manufacture of musical instruments</t>
  </si>
  <si>
    <t>NACE_C3220</t>
  </si>
  <si>
    <t>C - 32.3 Manufacture of sports goods</t>
  </si>
  <si>
    <t>NACE_C323</t>
  </si>
  <si>
    <t>C - 32.30 Manufacture of sports goods</t>
  </si>
  <si>
    <t>NACE_C3230</t>
  </si>
  <si>
    <t>C - 32.4 Manufacture of games and toys</t>
  </si>
  <si>
    <t>NACE_C324</t>
  </si>
  <si>
    <t>C - 32.40 Manufacture of games and toys</t>
  </si>
  <si>
    <t>NACE_C3240</t>
  </si>
  <si>
    <t>C - 32.5 Manufacture of medical and dental instruments and supplies</t>
  </si>
  <si>
    <t>NACE_C325</t>
  </si>
  <si>
    <t>C - 32.50 Manufacture of medical and dental instruments and supplies</t>
  </si>
  <si>
    <t>NACE_C3250</t>
  </si>
  <si>
    <t>C - 32.9 Manufacturing n.e.c.</t>
  </si>
  <si>
    <t>NACE_C329</t>
  </si>
  <si>
    <t>C - 32.91 Manufacture of brooms and brushes</t>
  </si>
  <si>
    <t>NACE_C3291</t>
  </si>
  <si>
    <t>C - 32.99 Other manufacturing n.e.c.</t>
  </si>
  <si>
    <t>NACE_C3299</t>
  </si>
  <si>
    <t>C - 33 Repair, maintenance and installation of machinery and equipment</t>
  </si>
  <si>
    <t>NACE_C33</t>
  </si>
  <si>
    <t>C - 33.1 Repair and maintenance of fabricated metal products, machinery and equipment</t>
  </si>
  <si>
    <t>NACE_C331</t>
  </si>
  <si>
    <t>C - 33.11 Repair and maintenance of fabricated metal products</t>
  </si>
  <si>
    <t>NACE_C3311</t>
  </si>
  <si>
    <t>C - 33.12 Repair and maintenance of machinery</t>
  </si>
  <si>
    <t>NACE_C3312</t>
  </si>
  <si>
    <t>C - 33.13 Repair and maintenance of electronic and optical equipment</t>
  </si>
  <si>
    <t>NACE_C3313</t>
  </si>
  <si>
    <t>C - 33.14 Repair and maintenance of electrical equipment</t>
  </si>
  <si>
    <t>NACE_C3314</t>
  </si>
  <si>
    <t>C - 33.15 Repair and maintenance of civilian ships and boats</t>
  </si>
  <si>
    <t>NACE_C3315</t>
  </si>
  <si>
    <t>C - 33.16 Repair and maintenance of civilian air and spacecraft</t>
  </si>
  <si>
    <t>NACE_C3316</t>
  </si>
  <si>
    <t>C - 33.17 Repair and maintenance of other civilian transport equipment</t>
  </si>
  <si>
    <t>NACE_C3317</t>
  </si>
  <si>
    <t>C - 33.18 Repair and maintenance of military fighting vehicles, ships, boats, air and spacecraft</t>
  </si>
  <si>
    <t>NACE_C3318</t>
  </si>
  <si>
    <t>C - 33.19 Repair and maintenance of other equipment</t>
  </si>
  <si>
    <t>NACE_C3319</t>
  </si>
  <si>
    <t>C - 33.2 Installation of industrial machinery and equipment</t>
  </si>
  <si>
    <t>NACE_C332</t>
  </si>
  <si>
    <t>C - 33.20 Installation of industrial machinery and equipment</t>
  </si>
  <si>
    <t>NACE_C3320</t>
  </si>
  <si>
    <t>D - ELECTRICITY, GAS, STEAM AND AIR CONDITIONING SUPPLY</t>
  </si>
  <si>
    <t>NACE_D</t>
  </si>
  <si>
    <t>D - 35 Electricity, gas, steam and air conditioning supply</t>
  </si>
  <si>
    <t>NACE_D35</t>
  </si>
  <si>
    <t>D - 35.1 Electric power generation, transmission and distribution</t>
  </si>
  <si>
    <t>NACE_D351</t>
  </si>
  <si>
    <t>D - 35.11 Production of electricity from non-renewable sources</t>
  </si>
  <si>
    <t>NACE_D3511</t>
  </si>
  <si>
    <t>D - 35.12 Production of electricity from renewable sources</t>
  </si>
  <si>
    <t>NACE_D3512</t>
  </si>
  <si>
    <t>D - 35.13 Transmission of electricity</t>
  </si>
  <si>
    <t>NACE_D3513</t>
  </si>
  <si>
    <t>D - 35.14 Distribution of electricity</t>
  </si>
  <si>
    <t>NACE_D3514</t>
  </si>
  <si>
    <t>D - 35.15 Trade of electricity</t>
  </si>
  <si>
    <t>NACE_D3515</t>
  </si>
  <si>
    <t>D - 35.16 Storage of electricity</t>
  </si>
  <si>
    <t>NACE_D3516</t>
  </si>
  <si>
    <t>D - 35.2 Manufacture of gas, and distribution of gaseous fuels through mains</t>
  </si>
  <si>
    <t>NACE_D352</t>
  </si>
  <si>
    <t>D - 35.21 Manufacture of gas</t>
  </si>
  <si>
    <t>NACE_D3521</t>
  </si>
  <si>
    <t>D - 35.22 Distribution of gaseous fuels through mains</t>
  </si>
  <si>
    <t>NACE_D3522</t>
  </si>
  <si>
    <t>D - 35.23 Trade of gas through mains</t>
  </si>
  <si>
    <t>NACE_D3523</t>
  </si>
  <si>
    <t>D - 35.24 Storage of gas as part of network supply services</t>
  </si>
  <si>
    <t>NACE_D3524</t>
  </si>
  <si>
    <t>D - 35.3 Steam and air conditioning supply</t>
  </si>
  <si>
    <t>NACE_D353</t>
  </si>
  <si>
    <t>D - 35.30 Steam and air conditioning supply</t>
  </si>
  <si>
    <t>NACE_D3530</t>
  </si>
  <si>
    <t>D - 35.4 Activities of brokers and agents for electric power and natural gas</t>
  </si>
  <si>
    <t>NACE_D354</t>
  </si>
  <si>
    <t>D - 35.40 Activities of brokers and agents for electric power and natural gas</t>
  </si>
  <si>
    <t>NACE_D3540</t>
  </si>
  <si>
    <t>E - WATER SUPPLY; SEWERAGE, WASTE MANAGEMENT AND REMEDIATION ACTIVITIES</t>
  </si>
  <si>
    <t>NACE_E</t>
  </si>
  <si>
    <t>E - 36 Water collection, treatment and supply</t>
  </si>
  <si>
    <t>NACE_E36</t>
  </si>
  <si>
    <t>E - 36.0 Water collection, treatment and supply</t>
  </si>
  <si>
    <t>NACE_E360</t>
  </si>
  <si>
    <t>E - 36.00 Water collection, treatment and supply</t>
  </si>
  <si>
    <t>NACE_E3600</t>
  </si>
  <si>
    <t>E - 37 Sewerage</t>
  </si>
  <si>
    <t>NACE_E37</t>
  </si>
  <si>
    <t>E - 37.0 Sewerage</t>
  </si>
  <si>
    <t>NACE_E370</t>
  </si>
  <si>
    <t>E - 37.00 Sewerage</t>
  </si>
  <si>
    <t>NACE_E3700</t>
  </si>
  <si>
    <t>E - 38 Waste collection, recovery and disposal activities</t>
  </si>
  <si>
    <t>NACE_E38</t>
  </si>
  <si>
    <t>E - 38.1 Waste collection</t>
  </si>
  <si>
    <t>NACE_E381</t>
  </si>
  <si>
    <t>E - 38.11 Collection of non-hazardous waste</t>
  </si>
  <si>
    <t>NACE_E3811</t>
  </si>
  <si>
    <t>E - 38.12 Collection of hazardous waste</t>
  </si>
  <si>
    <t>NACE_E3812</t>
  </si>
  <si>
    <t>E - 38.2 Waste recovery</t>
  </si>
  <si>
    <t>NACE_E382</t>
  </si>
  <si>
    <t>E - 38.21 Materials recovery</t>
  </si>
  <si>
    <t>NACE_E3821</t>
  </si>
  <si>
    <t>E - 38.22 Energy recovery</t>
  </si>
  <si>
    <t>NACE_E3822</t>
  </si>
  <si>
    <t>E - 38.23 Other waste recovery</t>
  </si>
  <si>
    <t>NACE_E3823</t>
  </si>
  <si>
    <t>E - 38.3 Waste disposal without recovery</t>
  </si>
  <si>
    <t>NACE_E383</t>
  </si>
  <si>
    <t>E - 38.31 Incineration without energy recovery</t>
  </si>
  <si>
    <t>NACE_E3831</t>
  </si>
  <si>
    <t>E - 38.32 Landfilling or permanent storage</t>
  </si>
  <si>
    <t>NACE_E3832</t>
  </si>
  <si>
    <t>E - 38.33 Other waste disposal</t>
  </si>
  <si>
    <t>NACE_E3833</t>
  </si>
  <si>
    <t>E - 39 Remediation activities and other waste management service activities</t>
  </si>
  <si>
    <t>NACE_E39</t>
  </si>
  <si>
    <t>E - 39.0 Remediation activities and other waste management service activities</t>
  </si>
  <si>
    <t>NACE_E390</t>
  </si>
  <si>
    <t>E - 39.00 Remediation activities and other waste management service activities</t>
  </si>
  <si>
    <t>NACE_E3900</t>
  </si>
  <si>
    <t>F - CONSTRUCTION</t>
  </si>
  <si>
    <t>NACE_F</t>
  </si>
  <si>
    <t>F - 41 Construction of residential and non-residential buildings</t>
  </si>
  <si>
    <t>NACE_F41</t>
  </si>
  <si>
    <t>F - 41.0 Construction of residential and non-residential buildings</t>
  </si>
  <si>
    <t>NACE_F410</t>
  </si>
  <si>
    <t>F - 41.00 Construction of residential and non-residential buildings</t>
  </si>
  <si>
    <t>NACE_F4100</t>
  </si>
  <si>
    <t>F - 42 Civil engineering</t>
  </si>
  <si>
    <t>NACE_F42</t>
  </si>
  <si>
    <t>F - 42.1 Construction of roads and railways</t>
  </si>
  <si>
    <t>NACE_F421</t>
  </si>
  <si>
    <t>F - 42.11 Construction of roads and motorways</t>
  </si>
  <si>
    <t>NACE_F4211</t>
  </si>
  <si>
    <t>F - 42.12 Construction of railways and underground railways</t>
  </si>
  <si>
    <t>NACE_F4212</t>
  </si>
  <si>
    <t>F - 42.13 Construction of bridges and tunnels</t>
  </si>
  <si>
    <t>NACE_F4213</t>
  </si>
  <si>
    <t>F - 42.2 Construction of utility projects</t>
  </si>
  <si>
    <t>NACE_F422</t>
  </si>
  <si>
    <t>F - 42.21 Construction of utility projects for fluids</t>
  </si>
  <si>
    <t>NACE_F4221</t>
  </si>
  <si>
    <t>F - 42.22 Construction of utility projects for electricity and telecommunications</t>
  </si>
  <si>
    <t>NACE_F4222</t>
  </si>
  <si>
    <t>F - 42.9 Construction of other civil engineering projects</t>
  </si>
  <si>
    <t>NACE_F429</t>
  </si>
  <si>
    <t>F - 42.91 Construction of water projects</t>
  </si>
  <si>
    <t>NACE_F4291</t>
  </si>
  <si>
    <t>F - 42.99 Construction of other civil engineering projects n.e.c.</t>
  </si>
  <si>
    <t>NACE_F4299</t>
  </si>
  <si>
    <t>F - 43 Specialised construction activities</t>
  </si>
  <si>
    <t>NACE_F43</t>
  </si>
  <si>
    <t>F - 43.1 Demolition and site preparation</t>
  </si>
  <si>
    <t>NACE_F431</t>
  </si>
  <si>
    <t>F - 43.11 Demolition</t>
  </si>
  <si>
    <t>NACE_F4311</t>
  </si>
  <si>
    <t>F - 43.12 Site preparation</t>
  </si>
  <si>
    <t>NACE_F4312</t>
  </si>
  <si>
    <t>F - 43.13 Test drilling and boring</t>
  </si>
  <si>
    <t>NACE_F4313</t>
  </si>
  <si>
    <t>F - 43.2 Electrical, plumbing and other construction installation activities</t>
  </si>
  <si>
    <t>NACE_F432</t>
  </si>
  <si>
    <t>F - 43.21 Electrical installation</t>
  </si>
  <si>
    <t>NACE_F4321</t>
  </si>
  <si>
    <t>F - 43.22 Plumbing, heat and air-conditioning installation</t>
  </si>
  <si>
    <t>NACE_F4322</t>
  </si>
  <si>
    <t>F - 43.23 Installation of insulation</t>
  </si>
  <si>
    <t>NACE_F4323</t>
  </si>
  <si>
    <t>F - 43.24 Other construction installation</t>
  </si>
  <si>
    <t>NACE_F4324</t>
  </si>
  <si>
    <t>F - 43.3 Building completion and finishing</t>
  </si>
  <si>
    <t>NACE_F433</t>
  </si>
  <si>
    <t>F - 43.31 Plastering</t>
  </si>
  <si>
    <t>NACE_F4331</t>
  </si>
  <si>
    <t>F - 43.32 Joinery installation</t>
  </si>
  <si>
    <t>NACE_F4332</t>
  </si>
  <si>
    <t>F - 43.33 Floor and wall covering</t>
  </si>
  <si>
    <t>NACE_F4333</t>
  </si>
  <si>
    <t>F - 43.34 Painting and glazing</t>
  </si>
  <si>
    <t>NACE_F4334</t>
  </si>
  <si>
    <t>F - 43.35 Other building completion and finishing</t>
  </si>
  <si>
    <t>NACE_F4335</t>
  </si>
  <si>
    <t>F - 43.4 Specialised construction activities in construction of buildings</t>
  </si>
  <si>
    <t>NACE_F434</t>
  </si>
  <si>
    <t>F - 43.41 Roofing activities</t>
  </si>
  <si>
    <t>NACE_F4341</t>
  </si>
  <si>
    <t>F - 43.42 Other specialised construction activities in construction of buildings</t>
  </si>
  <si>
    <t>NACE_F4342</t>
  </si>
  <si>
    <t>F - 43.5 Specialised construction activities in civil engineering</t>
  </si>
  <si>
    <t>NACE_F435</t>
  </si>
  <si>
    <t>F - 43.50 Specialised construction activities in civil engineering</t>
  </si>
  <si>
    <t>NACE_F4350</t>
  </si>
  <si>
    <t>F - 43.6 Intermediation service activities for specialised construction services</t>
  </si>
  <si>
    <t>NACE_F436</t>
  </si>
  <si>
    <t>F - 43.60 Intermediation service activities for specialised construction services</t>
  </si>
  <si>
    <t>NACE_F4360</t>
  </si>
  <si>
    <t>F - 43.9 Other specialised construction activities</t>
  </si>
  <si>
    <t>NACE_F439</t>
  </si>
  <si>
    <t>F - 43.91 Masonry and bricklaying activities</t>
  </si>
  <si>
    <t>NACE_F4391</t>
  </si>
  <si>
    <t>F - 43.99 Other specialised construction activities n.e.c.</t>
  </si>
  <si>
    <t>NACE_F4399</t>
  </si>
  <si>
    <t>G - WHOLESALE AND RETAIL TRADE</t>
  </si>
  <si>
    <t>NACE_G</t>
  </si>
  <si>
    <t>G - 46 Wholesale trade</t>
  </si>
  <si>
    <t>NACE_G46</t>
  </si>
  <si>
    <t>G - 46.1 Wholesale on a fee or contract basis</t>
  </si>
  <si>
    <t>NACE_G461</t>
  </si>
  <si>
    <t>G - 46.11 Activities of agents involved in the wholesale of agricultural raw materials, live animals, textile raw materials and semi-finished goods</t>
  </si>
  <si>
    <t>NACE_G4611</t>
  </si>
  <si>
    <t>G - 46.12 Activities of agents involved in the wholesale of fuels, ores, metals and industrial chemicals</t>
  </si>
  <si>
    <t>NACE_G4612</t>
  </si>
  <si>
    <t>G - 46.13 Activities of agents involved in the wholesale of timber and building materials</t>
  </si>
  <si>
    <t>NACE_G4613</t>
  </si>
  <si>
    <t>G - 46.14 Activities of agents involved in the wholesale of machinery, industrial equipment, ships and aircraft</t>
  </si>
  <si>
    <t>NACE_G4614</t>
  </si>
  <si>
    <t>G - 46.15 Activities of agents involved in the wholesale of furniture, household goods, hardware and ironmongery</t>
  </si>
  <si>
    <t>NACE_G4615</t>
  </si>
  <si>
    <t>G - 46.16 Activities of agents involved in the wholesale of textiles, clothing, fur, footwear and leather goods</t>
  </si>
  <si>
    <t>NACE_G4616</t>
  </si>
  <si>
    <t>G - 46.17 Activities of agents involved in the wholesale of food, beverages and tobacco</t>
  </si>
  <si>
    <t>NACE_G4617</t>
  </si>
  <si>
    <t>G - 46.18 Activities of agents involved in the wholesale of other particular products</t>
  </si>
  <si>
    <t>NACE_G4618</t>
  </si>
  <si>
    <t>G - 46.19 Activities of agents involved in non-specialised wholesale</t>
  </si>
  <si>
    <t>NACE_G4619</t>
  </si>
  <si>
    <t>G - 46.2 Wholesale of agricultural raw materials and live animals</t>
  </si>
  <si>
    <t>NACE_G462</t>
  </si>
  <si>
    <t>G - 46.21 Wholesale of grain, unmanufactured tobacco, seeds and animal feeds</t>
  </si>
  <si>
    <t>NACE_G4621</t>
  </si>
  <si>
    <t>G - 46.22 Wholesale of flowers and plants</t>
  </si>
  <si>
    <t>NACE_G4622</t>
  </si>
  <si>
    <t>G - 46.23 Wholesale of live animals</t>
  </si>
  <si>
    <t>NACE_G4623</t>
  </si>
  <si>
    <t>G - 46.24 Wholesale of hides, skins and leather</t>
  </si>
  <si>
    <t>NACE_G4624</t>
  </si>
  <si>
    <t>G - 46.3 Wholesale of food, beverages and tobacco</t>
  </si>
  <si>
    <t>NACE_G463</t>
  </si>
  <si>
    <t>G - 46.31 Wholesale of fruit and vegetables</t>
  </si>
  <si>
    <t>NACE_G4631</t>
  </si>
  <si>
    <t>G - 46.32 Wholesale of meat, meat products, fish and fish products</t>
  </si>
  <si>
    <t>NACE_G4632</t>
  </si>
  <si>
    <t>G - 46.33 Wholesale of dairy products, eggs and edible oils and fats</t>
  </si>
  <si>
    <t>NACE_G4633</t>
  </si>
  <si>
    <t>G - 46.34 Wholesale of beverages</t>
  </si>
  <si>
    <t>NACE_G4634</t>
  </si>
  <si>
    <t>G - 46.35 Wholesale of tobacco products</t>
  </si>
  <si>
    <t>NACE_G4635</t>
  </si>
  <si>
    <t>G - 46.36 Wholesale of sugar, chocolate and sugar confectionery</t>
  </si>
  <si>
    <t>NACE_G4636</t>
  </si>
  <si>
    <t>G - 46.37 Wholesale of coffee, tea, cocoa and spices</t>
  </si>
  <si>
    <t>NACE_G4637</t>
  </si>
  <si>
    <t>G - 46.38 Wholesale of other food</t>
  </si>
  <si>
    <t>NACE_G4638</t>
  </si>
  <si>
    <t>G - 46.39 Non-specialised wholesale of food, beverages and tobacco</t>
  </si>
  <si>
    <t>NACE_G4639</t>
  </si>
  <si>
    <t>G - 46.4 Wholesale of household goods</t>
  </si>
  <si>
    <t>NACE_G464</t>
  </si>
  <si>
    <t>G - 46.41 Wholesale of textiles</t>
  </si>
  <si>
    <t>NACE_G4641</t>
  </si>
  <si>
    <t>G - 46.42 Wholesale of clothing and footwear</t>
  </si>
  <si>
    <t>NACE_G4642</t>
  </si>
  <si>
    <t>G - 46.43 Wholesale of electrical household appliances</t>
  </si>
  <si>
    <t>NACE_G4643</t>
  </si>
  <si>
    <t>G - 46.44 Wholesale of china and glassware and cleaning materials</t>
  </si>
  <si>
    <t>NACE_G4644</t>
  </si>
  <si>
    <t>G - 46.45 Wholesale of perfume and cosmetics</t>
  </si>
  <si>
    <t>NACE_G4645</t>
  </si>
  <si>
    <t>G - 46.46 Wholesale of pharmaceutical and medical goods</t>
  </si>
  <si>
    <t>NACE_G4646</t>
  </si>
  <si>
    <t>G - 46.47 Wholesale of household, office and shop furniture, carpets and lighting equipment</t>
  </si>
  <si>
    <t>NACE_G4647</t>
  </si>
  <si>
    <t>G - 46.48 Wholesale of watches and jewellery</t>
  </si>
  <si>
    <t>NACE_G4648</t>
  </si>
  <si>
    <t>G - 46.49 Wholesale of other household goods</t>
  </si>
  <si>
    <t>NACE_G4649</t>
  </si>
  <si>
    <t>G - 46.5 Wholesale of information and communication equipment</t>
  </si>
  <si>
    <t>NACE_G465</t>
  </si>
  <si>
    <t>G - 46.50 Wholesale of information and communication equipment</t>
  </si>
  <si>
    <t>NACE_G4650</t>
  </si>
  <si>
    <t>G - 46.6 Wholesale of other machinery, equipment and supplies</t>
  </si>
  <si>
    <t>NACE_G466</t>
  </si>
  <si>
    <t>G - 46.61 Wholesale of agricultural machinery, equipment and supplies</t>
  </si>
  <si>
    <t>NACE_G4661</t>
  </si>
  <si>
    <t>G - 46.62 Wholesale of machine tools</t>
  </si>
  <si>
    <t>NACE_G4662</t>
  </si>
  <si>
    <t>G - 46.63 Wholesale of mining, construction and civil engineering machinery</t>
  </si>
  <si>
    <t>NACE_G4663</t>
  </si>
  <si>
    <t>G - 46.64 Wholesale of other machinery and equipment</t>
  </si>
  <si>
    <t>NACE_G4664</t>
  </si>
  <si>
    <t>G - 46.7 Wholesale of motor vehicles, motorcycles and related parts and accessories</t>
  </si>
  <si>
    <t>NACE_G467</t>
  </si>
  <si>
    <t>G - 46.71 Wholesale of motor vehicles</t>
  </si>
  <si>
    <t>NACE_G4671</t>
  </si>
  <si>
    <t>G - 46.72 Wholesale of motor vehicle parts and accessories</t>
  </si>
  <si>
    <t>NACE_G4672</t>
  </si>
  <si>
    <t>G - 46.73 Wholesale of motorcycles, motorcycle parts and accessories</t>
  </si>
  <si>
    <t>NACE_G4673</t>
  </si>
  <si>
    <t>G - 46.8 Other specialised wholesale</t>
  </si>
  <si>
    <t>NACE_G468</t>
  </si>
  <si>
    <t>G - 46.81 Wholesale of solid, liquid and gaseous fuels and related products</t>
  </si>
  <si>
    <t>NACE_G4681</t>
  </si>
  <si>
    <t>G - 46.82 Wholesale of metals and metal ores</t>
  </si>
  <si>
    <t>NACE_G4682</t>
  </si>
  <si>
    <t>G - 46.83 Wholesale of wood, construction materials and sanitary equipment</t>
  </si>
  <si>
    <t>NACE_G4683</t>
  </si>
  <si>
    <t>G - 46.84 Wholesale of hardware, plumbing and heating equipment and supplies</t>
  </si>
  <si>
    <t>NACE_G4684</t>
  </si>
  <si>
    <t>G - 46.85 Wholesale of chemical products</t>
  </si>
  <si>
    <t>NACE_G4685</t>
  </si>
  <si>
    <t>G - 46.86 Wholesale of other intermediate products</t>
  </si>
  <si>
    <t>NACE_G4686</t>
  </si>
  <si>
    <t>G - 46.87 Wholesale of waste and scrap</t>
  </si>
  <si>
    <t>NACE_G4687</t>
  </si>
  <si>
    <t>G - 46.89 Other specialised wholesale n.e.c.</t>
  </si>
  <si>
    <t>NACE_G4689</t>
  </si>
  <si>
    <t>G - 46.9 Non-specialised wholesale trade</t>
  </si>
  <si>
    <t>NACE_G469</t>
  </si>
  <si>
    <t>G - 46.90 Non-specialised wholesale trade</t>
  </si>
  <si>
    <t>NACE_G4690</t>
  </si>
  <si>
    <t>G - 47 Retail trade</t>
  </si>
  <si>
    <t>NACE_G47</t>
  </si>
  <si>
    <t>G - 47.1 Non-specialised retail sale</t>
  </si>
  <si>
    <t>NACE_G471</t>
  </si>
  <si>
    <t>G - 47.11 Non-specialised retail sale of predominately food, beverages or tobacco</t>
  </si>
  <si>
    <t>NACE_G4711</t>
  </si>
  <si>
    <t>G - 47.12 Other non-specialised retail sale</t>
  </si>
  <si>
    <t>NACE_G4712</t>
  </si>
  <si>
    <t>G - 47.2 Retail sale of food, beverages and tobacco</t>
  </si>
  <si>
    <t>NACE_G472</t>
  </si>
  <si>
    <t>G - 47.21 Retail sale of fruit and vegetables</t>
  </si>
  <si>
    <t>NACE_G4721</t>
  </si>
  <si>
    <t>G - 47.22 Retail sale of meat and meat products</t>
  </si>
  <si>
    <t>NACE_G4722</t>
  </si>
  <si>
    <t>G - 47.23 Retail sale of fish, crustaceans and molluscs</t>
  </si>
  <si>
    <t>NACE_G4723</t>
  </si>
  <si>
    <t>G - 47.24 Retail sale of bread, cake and confectionery</t>
  </si>
  <si>
    <t>NACE_G4724</t>
  </si>
  <si>
    <t>G - 47.25 Retail sale of beverages</t>
  </si>
  <si>
    <t>NACE_G4725</t>
  </si>
  <si>
    <t>G - 47.26 Retail sale of tobacco products</t>
  </si>
  <si>
    <t>NACE_G4726</t>
  </si>
  <si>
    <t>G - 47.27 Retail sale of other food</t>
  </si>
  <si>
    <t>NACE_G4727</t>
  </si>
  <si>
    <t>G - 47.3 Retail sale of automotive fuel</t>
  </si>
  <si>
    <t>NACE_G473</t>
  </si>
  <si>
    <t>G - 47.30 Retail sale of automotive fuel</t>
  </si>
  <si>
    <t>NACE_G4730</t>
  </si>
  <si>
    <t>G - 47.4 Retail sale of information and communication equipment</t>
  </si>
  <si>
    <t>NACE_G474</t>
  </si>
  <si>
    <t>G - 47.40 Retail sale of information and communication equipment</t>
  </si>
  <si>
    <t>NACE_G4740</t>
  </si>
  <si>
    <t>G - 47.5 Retail sale of other household equipment</t>
  </si>
  <si>
    <t>NACE_G475</t>
  </si>
  <si>
    <t>G - 47.51 Retail sale of textiles</t>
  </si>
  <si>
    <t>NACE_G4751</t>
  </si>
  <si>
    <t>G - 47.52 Retail sale of hardware, building materials, paints and glass</t>
  </si>
  <si>
    <t>NACE_G4752</t>
  </si>
  <si>
    <t>G - 47.53 Retail sale of carpets, rugs, wall and floor coverings</t>
  </si>
  <si>
    <t>NACE_G4753</t>
  </si>
  <si>
    <t>G - 47.54 Retail sale of electrical household appliances</t>
  </si>
  <si>
    <t>NACE_G4754</t>
  </si>
  <si>
    <t>G - 47.55 Retail sale of furniture, lighting equipment, tableware and other household goods</t>
  </si>
  <si>
    <t>NACE_G4755</t>
  </si>
  <si>
    <t>G - 47.6 Retail sale of cultural and recreation goods</t>
  </si>
  <si>
    <t>NACE_G476</t>
  </si>
  <si>
    <t>G - 47.61 Retail sale of books</t>
  </si>
  <si>
    <t>NACE_G4761</t>
  </si>
  <si>
    <t>G - 47.62 Retail sale of newspapers, and other periodical publications and stationery</t>
  </si>
  <si>
    <t>NACE_G4762</t>
  </si>
  <si>
    <t>G - 47.63 Retail sale of sporting equipment</t>
  </si>
  <si>
    <t>NACE_G4763</t>
  </si>
  <si>
    <t>G - 47.64 Retail sale of games and toys</t>
  </si>
  <si>
    <t>NACE_G4764</t>
  </si>
  <si>
    <t>G - 47.69 Retail sale of cultural and recreational goods n.e.c.</t>
  </si>
  <si>
    <t>NACE_G4769</t>
  </si>
  <si>
    <t>G - 47.7 Retail sale of other goods, except motor vehicles and motorcycles</t>
  </si>
  <si>
    <t>NACE_G477</t>
  </si>
  <si>
    <t>G - 47.71 Retail sale of clothing</t>
  </si>
  <si>
    <t>NACE_G4771</t>
  </si>
  <si>
    <t>G - 47.72 Retail sale of footwear and leather goods</t>
  </si>
  <si>
    <t>NACE_G4772</t>
  </si>
  <si>
    <t>G - 47.73 Retail sale of pharmaceutical products</t>
  </si>
  <si>
    <t>NACE_G4773</t>
  </si>
  <si>
    <t>G - 47.74 Retail sale of medical and orthopaedic goods</t>
  </si>
  <si>
    <t>NACE_G4774</t>
  </si>
  <si>
    <t>G - 47.75 Retail sale of cosmetic and toilet articles</t>
  </si>
  <si>
    <t>NACE_G4775</t>
  </si>
  <si>
    <t>G - 47.76 Retail sale of flowers, plants, fertilisers, pets and pet food</t>
  </si>
  <si>
    <t>NACE_G4776</t>
  </si>
  <si>
    <t>G - 47.77 Retail sale of watches and jewellery</t>
  </si>
  <si>
    <t>NACE_G4777</t>
  </si>
  <si>
    <t>G - 47.78 Retail sale of other new goods</t>
  </si>
  <si>
    <t>NACE_G4778</t>
  </si>
  <si>
    <t>G - 47.79 Retail sale of second-hand goods</t>
  </si>
  <si>
    <t>NACE_G4779</t>
  </si>
  <si>
    <t>G - 47.8 Retail sale of motor vehicles, motorcycles and related parts and accessories</t>
  </si>
  <si>
    <t>NACE_G478</t>
  </si>
  <si>
    <t>G - 47.81 Retail sale of motor vehicles</t>
  </si>
  <si>
    <t>NACE_G4781</t>
  </si>
  <si>
    <t>G - 47.82 Retail sale of motor vehicle parts and accessories</t>
  </si>
  <si>
    <t>NACE_G4782</t>
  </si>
  <si>
    <t>G - 47.83 Retail sale of motorcycles, motorcycle parts and accessories</t>
  </si>
  <si>
    <t>NACE_G4783</t>
  </si>
  <si>
    <t>G - 47.9 Intermediation service activities for retail sale</t>
  </si>
  <si>
    <t>NACE_G479</t>
  </si>
  <si>
    <t>G - 47.91 Intermediation service activities for non-specialised retail sale</t>
  </si>
  <si>
    <t>NACE_G4791</t>
  </si>
  <si>
    <t>G - 47.92 Intermediation service activities for specialised retail sale</t>
  </si>
  <si>
    <t>NACE_G4792</t>
  </si>
  <si>
    <t>H - TRANSPORTATION AND STORAGE</t>
  </si>
  <si>
    <t>NACE_H</t>
  </si>
  <si>
    <t>H - 49 Land transport and transport via pipelines</t>
  </si>
  <si>
    <t>NACE_H49</t>
  </si>
  <si>
    <t>H - 49.1 Passenger rail transport</t>
  </si>
  <si>
    <t>NACE_H491</t>
  </si>
  <si>
    <t>H - 49.11 Passenger heavy rail transport</t>
  </si>
  <si>
    <t>NACE_H4911</t>
  </si>
  <si>
    <t>H - 49.12 Other passenger rail transport</t>
  </si>
  <si>
    <t>NACE_H4912</t>
  </si>
  <si>
    <t>H - 49.2 Freight rail transport</t>
  </si>
  <si>
    <t>NACE_H492</t>
  </si>
  <si>
    <t>H - 49.20 Freight rail transport</t>
  </si>
  <si>
    <t>NACE_H4920</t>
  </si>
  <si>
    <t>H - 49.3 Other passenger land transport</t>
  </si>
  <si>
    <t>NACE_H493</t>
  </si>
  <si>
    <t>H - 49.31 Scheduled passenger transport by road</t>
  </si>
  <si>
    <t>NACE_H4931</t>
  </si>
  <si>
    <t>H - 49.32 Non-scheduled passenger transport by road</t>
  </si>
  <si>
    <t>NACE_H4932</t>
  </si>
  <si>
    <t>H - 49.33 On-demand passenger transport service activities by vehicle with driver</t>
  </si>
  <si>
    <t>NACE_H4933</t>
  </si>
  <si>
    <t>H - 49.34 Passenger transport by cableways and ski lifts</t>
  </si>
  <si>
    <t>NACE_H4934</t>
  </si>
  <si>
    <t>H - 49.39 Other passenger land transport n.e.c.</t>
  </si>
  <si>
    <t>NACE_H4939</t>
  </si>
  <si>
    <t>H - 49.4 Freight transport by road and removal services</t>
  </si>
  <si>
    <t>NACE_H494</t>
  </si>
  <si>
    <t>H - 49.41 Freight transport by road</t>
  </si>
  <si>
    <t>NACE_H4941</t>
  </si>
  <si>
    <t>H - 49.42 Removal services</t>
  </si>
  <si>
    <t>NACE_H4942</t>
  </si>
  <si>
    <t>H - 49.5 Transport via pipeline</t>
  </si>
  <si>
    <t>NACE_H495</t>
  </si>
  <si>
    <t>H - 49.50 Transport via pipeline</t>
  </si>
  <si>
    <t>NACE_H4950</t>
  </si>
  <si>
    <t>H - 50 Water transport</t>
  </si>
  <si>
    <t>NACE_H50</t>
  </si>
  <si>
    <t>H - 50.1 Sea and coastal passenger water transport</t>
  </si>
  <si>
    <t>NACE_H501</t>
  </si>
  <si>
    <t>H - 50.10 Sea and coastal passenger water transport</t>
  </si>
  <si>
    <t>NACE_H5010</t>
  </si>
  <si>
    <t>H - 50.2 Sea and coastal freight water transport</t>
  </si>
  <si>
    <t>NACE_H502</t>
  </si>
  <si>
    <t>H - 50.20 Sea and coastal freight water transport</t>
  </si>
  <si>
    <t>NACE_H5020</t>
  </si>
  <si>
    <t>H - 50.3 Inland passenger water transport</t>
  </si>
  <si>
    <t>NACE_H503</t>
  </si>
  <si>
    <t>H - 50.30 Inland passenger water transport</t>
  </si>
  <si>
    <t>NACE_H5030</t>
  </si>
  <si>
    <t>H - 50.4 Inland freight water transport</t>
  </si>
  <si>
    <t>NACE_H504</t>
  </si>
  <si>
    <t>H - 50.40 Inland freight water transport</t>
  </si>
  <si>
    <t>NACE_H5040</t>
  </si>
  <si>
    <t>H - 51 Air transport</t>
  </si>
  <si>
    <t>NACE_H51</t>
  </si>
  <si>
    <t>H - 51.1 Passenger air transport</t>
  </si>
  <si>
    <t>NACE_H511</t>
  </si>
  <si>
    <t>H - 51.10 Passenger air transport</t>
  </si>
  <si>
    <t>NACE_H5110</t>
  </si>
  <si>
    <t>H - 51.2 Freight air transport and space transport</t>
  </si>
  <si>
    <t>NACE_H512</t>
  </si>
  <si>
    <t>H - 51.21 Freight air transport</t>
  </si>
  <si>
    <t>NACE_H5121</t>
  </si>
  <si>
    <t>H - 51.22 Space transport</t>
  </si>
  <si>
    <t>NACE_H5122</t>
  </si>
  <si>
    <t>H - 52 Warehousing, storage and support activities for transportation</t>
  </si>
  <si>
    <t>NACE_H52</t>
  </si>
  <si>
    <t>H - 52.1 Warehousing and storage</t>
  </si>
  <si>
    <t>NACE_H521</t>
  </si>
  <si>
    <t>H - 52.10 Warehousing and storage</t>
  </si>
  <si>
    <t>NACE_H5210</t>
  </si>
  <si>
    <t>H - 52.2 Support activities for transportation</t>
  </si>
  <si>
    <t>NACE_H522</t>
  </si>
  <si>
    <t>H - 52.21 Service activities incidental to land transportation</t>
  </si>
  <si>
    <t>NACE_H5221</t>
  </si>
  <si>
    <t>H - 52.22 Service activities incidental to water transportation</t>
  </si>
  <si>
    <t>NACE_H5222</t>
  </si>
  <si>
    <t>H - 52.23 Service activities incidental to air transportation</t>
  </si>
  <si>
    <t>NACE_H5223</t>
  </si>
  <si>
    <t>H - 52.24 Cargo handling</t>
  </si>
  <si>
    <t>NACE_H5224</t>
  </si>
  <si>
    <t>H - 52.25 Logistics service activities</t>
  </si>
  <si>
    <t>NACE_H5225</t>
  </si>
  <si>
    <t>H - 52.26 Other support activities for transportation</t>
  </si>
  <si>
    <t>NACE_H5226</t>
  </si>
  <si>
    <t>H - 52.3 Intermediation service activities for transportation</t>
  </si>
  <si>
    <t>NACE_H523</t>
  </si>
  <si>
    <t>H - 52.31 Intermediation service activities for freight transportation</t>
  </si>
  <si>
    <t>NACE_H5231</t>
  </si>
  <si>
    <t>H - 52.32 Intermediation service activities for passenger transportation</t>
  </si>
  <si>
    <t>NACE_H5232</t>
  </si>
  <si>
    <t>H - 53 Postal and courier activities</t>
  </si>
  <si>
    <t>NACE_H53</t>
  </si>
  <si>
    <t>H - 53.1 Postal activities under universal service obligation</t>
  </si>
  <si>
    <t>NACE_H531</t>
  </si>
  <si>
    <t>H - 53.10 Postal activities under universal service obligation</t>
  </si>
  <si>
    <t>NACE_H5310</t>
  </si>
  <si>
    <t>H - 53.2 Other postal and courier activities</t>
  </si>
  <si>
    <t>NACE_H532</t>
  </si>
  <si>
    <t>H - 53.20 Other postal and courier activities</t>
  </si>
  <si>
    <t>NACE_H5320</t>
  </si>
  <si>
    <t>H - 53.3 Intermediation service activities for postal and courier activities</t>
  </si>
  <si>
    <t>NACE_H533</t>
  </si>
  <si>
    <t>H - 53.30 Intermediation service activities for postal and courier activities</t>
  </si>
  <si>
    <t>NACE_H5330</t>
  </si>
  <si>
    <t>I - ACCOMMODATION AND FOOD SERVICE ACTIVITIES</t>
  </si>
  <si>
    <t>NACE_I</t>
  </si>
  <si>
    <t>I - 55 Accommodation</t>
  </si>
  <si>
    <t>NACE_I55</t>
  </si>
  <si>
    <t>I - 55.1 Hotels and similar accommodation</t>
  </si>
  <si>
    <t>NACE_I551</t>
  </si>
  <si>
    <t>I - 55.10 Hotels and similar accommodation</t>
  </si>
  <si>
    <t>NACE_I5510</t>
  </si>
  <si>
    <t>I - 55.2 Holiday and other short-stay accommodation</t>
  </si>
  <si>
    <t>NACE_I552</t>
  </si>
  <si>
    <t>I - 55.20 Holiday and other short-stay accommodation</t>
  </si>
  <si>
    <t>NACE_I5520</t>
  </si>
  <si>
    <t>I - 55.3 Camping grounds and recreational vehicle parks</t>
  </si>
  <si>
    <t>NACE_I553</t>
  </si>
  <si>
    <t>I - 55.30 Camping grounds and recreational vehicle parks</t>
  </si>
  <si>
    <t>NACE_I5530</t>
  </si>
  <si>
    <t>I - 55.4 Intermediation service activities for accommodation</t>
  </si>
  <si>
    <t>NACE_I554</t>
  </si>
  <si>
    <t>I - 55.40 Intermediation service activities for accommodation</t>
  </si>
  <si>
    <t>NACE_I5540</t>
  </si>
  <si>
    <t>I - 55.9 Other accommodation</t>
  </si>
  <si>
    <t>NACE_I559</t>
  </si>
  <si>
    <t>I - 55.90 Other accommodation</t>
  </si>
  <si>
    <t>NACE_I5590</t>
  </si>
  <si>
    <t>I - 56 Food and beverage service activities</t>
  </si>
  <si>
    <t>NACE_I56</t>
  </si>
  <si>
    <t>I - 56.1 Restaurants and mobile food service activities</t>
  </si>
  <si>
    <t>NACE_I561</t>
  </si>
  <si>
    <t>I - 56.11 Restaurant activities</t>
  </si>
  <si>
    <t>NACE_I5611</t>
  </si>
  <si>
    <t>I - 56.12 Mobile food service activities</t>
  </si>
  <si>
    <t>NACE_I5612</t>
  </si>
  <si>
    <t>I - 56.2 Event catering, contract catering service activities and other food service activities</t>
  </si>
  <si>
    <t>NACE_I562</t>
  </si>
  <si>
    <t>I - 56.21 Event catering activities</t>
  </si>
  <si>
    <t>NACE_I5621</t>
  </si>
  <si>
    <t>I - 56.22 Contract catering service activities and other food service activities</t>
  </si>
  <si>
    <t>NACE_I5622</t>
  </si>
  <si>
    <t>I - 56.3 Beverage serving activities</t>
  </si>
  <si>
    <t>NACE_I563</t>
  </si>
  <si>
    <t>I - 56.30 Beverage serving activities</t>
  </si>
  <si>
    <t>NACE_I5630</t>
  </si>
  <si>
    <t>I - 56.4 Intermediation service activities for food and beverage services activities</t>
  </si>
  <si>
    <t>NACE_I564</t>
  </si>
  <si>
    <t>I - 56.40 Intermediation service activities for food and beverage services activities</t>
  </si>
  <si>
    <t>NACE_I5640</t>
  </si>
  <si>
    <t>J - PUBLISHING, BROADCASTING, AND CONTENT PRODUCTION AND DISTRIBUTION ACTIVITIES</t>
  </si>
  <si>
    <t>NACE_J</t>
  </si>
  <si>
    <t>J - 58 Publishing activities</t>
  </si>
  <si>
    <t>NACE_J58</t>
  </si>
  <si>
    <t>J - 58.1 Publishing of books, newspapers and other publishing activities, except software publishing</t>
  </si>
  <si>
    <t>NACE_J581</t>
  </si>
  <si>
    <t>J - 58.11 Publishing of books</t>
  </si>
  <si>
    <t>NACE_J5811</t>
  </si>
  <si>
    <t>J - 58.12 Publishing of newspapers</t>
  </si>
  <si>
    <t>NACE_J5812</t>
  </si>
  <si>
    <t>J - 58.13 Publishing of journals and periodicals</t>
  </si>
  <si>
    <t>NACE_J5813</t>
  </si>
  <si>
    <t>J - 58.19 Other publishing activities, except software publishing</t>
  </si>
  <si>
    <t>NACE_J5819</t>
  </si>
  <si>
    <t>J - 58.2 Software publishing</t>
  </si>
  <si>
    <t>NACE_J582</t>
  </si>
  <si>
    <t>J - 58.21 Publishing of video games</t>
  </si>
  <si>
    <t>NACE_J5821</t>
  </si>
  <si>
    <t>J - 58.29 Other software publishing</t>
  </si>
  <si>
    <t>NACE_J5829</t>
  </si>
  <si>
    <t>J - 59 Motion picture, video and television programme production, sound recording and music publishing activities</t>
  </si>
  <si>
    <t>NACE_J59</t>
  </si>
  <si>
    <t>J - 59.1 Motion picture, video and television programme activities</t>
  </si>
  <si>
    <t>NACE_J591</t>
  </si>
  <si>
    <t>J - 59.11 Motion picture, video and television programme production activities</t>
  </si>
  <si>
    <t>NACE_J5911</t>
  </si>
  <si>
    <t>J - 59.12 Motion picture, video and television programme post-production activities</t>
  </si>
  <si>
    <t>NACE_J5912</t>
  </si>
  <si>
    <t>J - 59.13 Motion picture and video distribution activities</t>
  </si>
  <si>
    <t>NACE_J5913</t>
  </si>
  <si>
    <t>J - 59.14 Motion picture projection activities</t>
  </si>
  <si>
    <t>NACE_J5914</t>
  </si>
  <si>
    <t>J - 59.2 Sound recording and music publishing activities</t>
  </si>
  <si>
    <t>NACE_J592</t>
  </si>
  <si>
    <t>J - 59.20 Sound recording and music publishing activities</t>
  </si>
  <si>
    <t>NACE_J5920</t>
  </si>
  <si>
    <t>J - 60 Programming, broadcasting, news agency and other content distribution activities</t>
  </si>
  <si>
    <t>NACE_J60</t>
  </si>
  <si>
    <t>J - 60.1 Radio broadcasting and audio distribution activities</t>
  </si>
  <si>
    <t>NACE_J601</t>
  </si>
  <si>
    <t>J - 60.10 Radio broadcasting and audio distribution activities</t>
  </si>
  <si>
    <t>NACE_J6010</t>
  </si>
  <si>
    <t>J - 60.2 Television programming, broadcasting and video distribution activities</t>
  </si>
  <si>
    <t>NACE_J602</t>
  </si>
  <si>
    <t>J - 60.20 Television programming, broadcasting and video distribution activities</t>
  </si>
  <si>
    <t>NACE_J6020</t>
  </si>
  <si>
    <t>J - 60.3 News agency and other content distribution activities</t>
  </si>
  <si>
    <t>NACE_J603</t>
  </si>
  <si>
    <t>J - 60.31 News agency activities</t>
  </si>
  <si>
    <t>NACE_J6031</t>
  </si>
  <si>
    <t>J - 60.39 Other content distribution activities</t>
  </si>
  <si>
    <t>NACE_J6039</t>
  </si>
  <si>
    <t>K - TELECOMMUNICATION, COMPUTER PROGRAMMING, CONSULTING, COMPUTING INFRASTRUCTURE AND OTHER INFORMATION SERVICE ACTIVITIES</t>
  </si>
  <si>
    <t>NACE_K</t>
  </si>
  <si>
    <t>K - 61 Telecommunication</t>
  </si>
  <si>
    <t>NACE_K61</t>
  </si>
  <si>
    <t>K - 61.1 Wired, wireless, and satellite telecommunication activities</t>
  </si>
  <si>
    <t>NACE_K611</t>
  </si>
  <si>
    <t>K - 61.10 Wired, wireless, and satellite telecommunication activities</t>
  </si>
  <si>
    <t>NACE_K6110</t>
  </si>
  <si>
    <t>K - 61.2 Telecommunication reselling activities and intermediation service activities for telecommunication</t>
  </si>
  <si>
    <t>NACE_K612</t>
  </si>
  <si>
    <t>K - 61.20 Telecommunication reselling activities and intermediation service activities for telecommunication</t>
  </si>
  <si>
    <t>NACE_K6120</t>
  </si>
  <si>
    <t>K - 61.9 Other telecommunication activities</t>
  </si>
  <si>
    <t>NACE_K619</t>
  </si>
  <si>
    <t>K - 61.90 Other telecommunication activities</t>
  </si>
  <si>
    <t>NACE_K6190</t>
  </si>
  <si>
    <t>K - 62 Computer programming, consultancy and related activities</t>
  </si>
  <si>
    <t>NACE_K62</t>
  </si>
  <si>
    <t>K - 62.1 Computer programming activities</t>
  </si>
  <si>
    <t>NACE_K621</t>
  </si>
  <si>
    <t>K - 62.10 Computer programming activities</t>
  </si>
  <si>
    <t>NACE_K6210</t>
  </si>
  <si>
    <t>K - 62.2 Computer consultancy and computer facilities management activities</t>
  </si>
  <si>
    <t>NACE_K622</t>
  </si>
  <si>
    <t>K - 62.20 Computer consultancy and computer facilities management activities</t>
  </si>
  <si>
    <t>NACE_K6220</t>
  </si>
  <si>
    <t>K - 62.9 Other information technology and computer service activities</t>
  </si>
  <si>
    <t>NACE_K629</t>
  </si>
  <si>
    <t>K - 62.90 Other information technology and computer service activities</t>
  </si>
  <si>
    <t>NACE_K6290</t>
  </si>
  <si>
    <t>K - 63 Computing infrastructure, data processing, hosting and other information service activities</t>
  </si>
  <si>
    <t>NACE_K63</t>
  </si>
  <si>
    <t>K - 63.1 Computing infrastructure, data processing, hosting and related activities</t>
  </si>
  <si>
    <t>NACE_K631</t>
  </si>
  <si>
    <t>K - 63.10 Computing infrastructure, data processing, hosting and related activities</t>
  </si>
  <si>
    <t>NACE_K6310</t>
  </si>
  <si>
    <t>K - 63.9 Web search portal activities and other information service activities</t>
  </si>
  <si>
    <t>NACE_K639</t>
  </si>
  <si>
    <t>K - 63.91 Web search portal activities</t>
  </si>
  <si>
    <t>NACE_K6391</t>
  </si>
  <si>
    <t>K - 63.92 Other information service activities</t>
  </si>
  <si>
    <t>NACE_K6392</t>
  </si>
  <si>
    <t>L - FINANCIAL AND INSURANCE ACTIVITIES</t>
  </si>
  <si>
    <t>NACE_L</t>
  </si>
  <si>
    <t>L - 64 Financial service activities, except insurance and pension funding</t>
  </si>
  <si>
    <t>NACE_L64</t>
  </si>
  <si>
    <t>L - 64.1 Monetary intermediation</t>
  </si>
  <si>
    <t>NACE_L641</t>
  </si>
  <si>
    <t>L - 64.11 Central banking</t>
  </si>
  <si>
    <t>NACE_L6411</t>
  </si>
  <si>
    <t>L - 64.19 Other monetary intermediation</t>
  </si>
  <si>
    <t>NACE_L6419</t>
  </si>
  <si>
    <t>L - 64.2 Activities of holding companies and financing conduits</t>
  </si>
  <si>
    <t>NACE_L642</t>
  </si>
  <si>
    <t>L - 64.21 Activities of holding companies</t>
  </si>
  <si>
    <t>NACE_L6421</t>
  </si>
  <si>
    <t>L - 64.22 Activities of financing conduits</t>
  </si>
  <si>
    <t>NACE_L6422</t>
  </si>
  <si>
    <t>L - 64.3 Activities of trusts, funds and similar financial entities</t>
  </si>
  <si>
    <t>NACE_L643</t>
  </si>
  <si>
    <t>L - 64.31 Activities of money market and non-money market investments funds</t>
  </si>
  <si>
    <t>NACE_L6431</t>
  </si>
  <si>
    <t>L - 64.32 Activities of trust, estate and agency accounts</t>
  </si>
  <si>
    <t>NACE_L6432</t>
  </si>
  <si>
    <t>L - 64.9 Other financial service activities, except insurance and pension funding</t>
  </si>
  <si>
    <t>NACE_L649</t>
  </si>
  <si>
    <t>L - 64.91 Financial leasing</t>
  </si>
  <si>
    <t>NACE_L6491</t>
  </si>
  <si>
    <t>L - 64.92 Other credit granting</t>
  </si>
  <si>
    <t>NACE_L6492</t>
  </si>
  <si>
    <t>L - 64.99 Other financial service activities, except insurance and pension funding n.e.c.</t>
  </si>
  <si>
    <t>NACE_L6499</t>
  </si>
  <si>
    <t>L - 65 Insurance, reinsurance and pension funding, except compulsory social security</t>
  </si>
  <si>
    <t>NACE_L65</t>
  </si>
  <si>
    <t>L - 65.1 Insurance</t>
  </si>
  <si>
    <t>NACE_L651</t>
  </si>
  <si>
    <t>L - 65.11 Life insurance</t>
  </si>
  <si>
    <t>NACE_L6511</t>
  </si>
  <si>
    <t>L - 65.12 Non-life insurance</t>
  </si>
  <si>
    <t>NACE_L6512</t>
  </si>
  <si>
    <t>L - 65.2 Reinsurance</t>
  </si>
  <si>
    <t>NACE_L652</t>
  </si>
  <si>
    <t>L - 65.20 Reinsurance</t>
  </si>
  <si>
    <t>NACE_L6520</t>
  </si>
  <si>
    <t>L - 65.3 Pension funding</t>
  </si>
  <si>
    <t>NACE_L653</t>
  </si>
  <si>
    <t>L - 65.30 Pension funding</t>
  </si>
  <si>
    <t>NACE_L6530</t>
  </si>
  <si>
    <t>L - 66 Activities auxiliary to financial services and insurance activities</t>
  </si>
  <si>
    <t>NACE_L66</t>
  </si>
  <si>
    <t>L - 66.1 Activities auxiliary to financial services, except insurance and pension funding</t>
  </si>
  <si>
    <t>NACE_L661</t>
  </si>
  <si>
    <t>L - 66.11 Administration of financial markets</t>
  </si>
  <si>
    <t>NACE_L6611</t>
  </si>
  <si>
    <t>L - 66.12 Security and commodity contracts brokerage</t>
  </si>
  <si>
    <t>NACE_L6612</t>
  </si>
  <si>
    <t>L - 66.19 Other activities auxiliary to financial services, except insurance and pension funding</t>
  </si>
  <si>
    <t>NACE_L6619</t>
  </si>
  <si>
    <t>L - 66.2 Activities auxiliary to insurance and pension funding</t>
  </si>
  <si>
    <t>NACE_L662</t>
  </si>
  <si>
    <t>L - 66.21 Risk and damage evaluation</t>
  </si>
  <si>
    <t>NACE_L6621</t>
  </si>
  <si>
    <t>L - 66.22 Activities of insurance agents and brokers</t>
  </si>
  <si>
    <t>NACE_L6622</t>
  </si>
  <si>
    <t>L - 66.29 Activities auxiliary to insurance and pension funding n.e.c.</t>
  </si>
  <si>
    <t>NACE_L6629</t>
  </si>
  <si>
    <t>L - 66.3 Fund management activities</t>
  </si>
  <si>
    <t>NACE_L663</t>
  </si>
  <si>
    <t>L - 66.30 Fund management activities</t>
  </si>
  <si>
    <t>NACE_L6630</t>
  </si>
  <si>
    <t>M - REAL ESTATE ACTIVITIES</t>
  </si>
  <si>
    <t>NACE_M</t>
  </si>
  <si>
    <t>M - 68 Real estate activities</t>
  </si>
  <si>
    <t>NACE_M68</t>
  </si>
  <si>
    <t>M - 68.1 Real estate activities with own property and development of building projects</t>
  </si>
  <si>
    <t>NACE_M681</t>
  </si>
  <si>
    <t>M - 68.11 Buying and selling of own real estate</t>
  </si>
  <si>
    <t>NACE_M6811</t>
  </si>
  <si>
    <t>M - 68.12 Development of building projects</t>
  </si>
  <si>
    <t>NACE_M6812</t>
  </si>
  <si>
    <t>M - 68.2 Rental and operating of own or leased real estate</t>
  </si>
  <si>
    <t>NACE_M682</t>
  </si>
  <si>
    <t>M - 68.20 Rental and operating of own or leased real estate</t>
  </si>
  <si>
    <t>NACE_M6820</t>
  </si>
  <si>
    <t>M - 68.3 Real estate activities on a fee or contract basis</t>
  </si>
  <si>
    <t>NACE_M683</t>
  </si>
  <si>
    <t>M - 68.31 Intermediation service activities for real estate activities</t>
  </si>
  <si>
    <t>NACE_M6831</t>
  </si>
  <si>
    <t>M - 68.32 Other real estate activities on a fee or contract basis</t>
  </si>
  <si>
    <t>NACE_M6832</t>
  </si>
  <si>
    <t>N - PROFESSIONAL, SCIENTIFIC AND TECHNICAL ACTIVITIES</t>
  </si>
  <si>
    <t>NACE_N</t>
  </si>
  <si>
    <t>N - 69 Legal and accounting activities</t>
  </si>
  <si>
    <t>NACE_N69</t>
  </si>
  <si>
    <t>N - 69.1 Legal activities</t>
  </si>
  <si>
    <t>NACE_N691</t>
  </si>
  <si>
    <t>N - 69.10 Legal activities</t>
  </si>
  <si>
    <t>NACE_N6910</t>
  </si>
  <si>
    <t>N - 69.2 Accounting, bookkeeping and auditing activities; tax consultancy</t>
  </si>
  <si>
    <t>NACE_N692</t>
  </si>
  <si>
    <t>N - 69.20 Accounting, bookkeeping and auditing activities; tax consultancy</t>
  </si>
  <si>
    <t>NACE_N6920</t>
  </si>
  <si>
    <t>N - 70 Activities of head offices and management consultancy</t>
  </si>
  <si>
    <t>NACE_N70</t>
  </si>
  <si>
    <t>N - 70.1 Activities of head offices</t>
  </si>
  <si>
    <t>NACE_N701</t>
  </si>
  <si>
    <t>N - 70.10 Activities of head offices</t>
  </si>
  <si>
    <t>NACE_N7010</t>
  </si>
  <si>
    <t>N - 70.2 Business and other management consultancy activities</t>
  </si>
  <si>
    <t>NACE_N702</t>
  </si>
  <si>
    <t>N - 70.20 Business and other management consultancy activities</t>
  </si>
  <si>
    <t>NACE_N7020</t>
  </si>
  <si>
    <t>N - 71 Architectural and engineering activities; technical testing and analysis</t>
  </si>
  <si>
    <t>NACE_N71</t>
  </si>
  <si>
    <t>N - 71.1 Architectural and engineering activities and related technical consultancy</t>
  </si>
  <si>
    <t>NACE_N711</t>
  </si>
  <si>
    <t>N - 71.11 Architectural activities</t>
  </si>
  <si>
    <t>NACE_N7111</t>
  </si>
  <si>
    <t>N - 71.12 Engineering activities and related technical consultancy</t>
  </si>
  <si>
    <t>NACE_N7112</t>
  </si>
  <si>
    <t>N - 71.2 Technical testing and analysis</t>
  </si>
  <si>
    <t>NACE_N712</t>
  </si>
  <si>
    <t>N - 71.20 Technical testing and analysis</t>
  </si>
  <si>
    <t>NACE_N7120</t>
  </si>
  <si>
    <t>N - 72 Scientific research and development</t>
  </si>
  <si>
    <t>NACE_N72</t>
  </si>
  <si>
    <t>N - 72.1 Research and experimental development on natural sciences and engineering</t>
  </si>
  <si>
    <t>NACE_N721</t>
  </si>
  <si>
    <t>N - 72.10 Research and experimental development on natural sciences and engineering</t>
  </si>
  <si>
    <t>NACE_N7210</t>
  </si>
  <si>
    <t>N - 72.2 Research and experimental development on social sciences and humanities</t>
  </si>
  <si>
    <t>NACE_N722</t>
  </si>
  <si>
    <t>N - 72.20 Research and experimental development on social sciences and humanities</t>
  </si>
  <si>
    <t>NACE_N7220</t>
  </si>
  <si>
    <t>N - 73 Activities of advertising, market research and public relations</t>
  </si>
  <si>
    <t>NACE_N73</t>
  </si>
  <si>
    <t>N - 73.1 Advertising</t>
  </si>
  <si>
    <t>NACE_N731</t>
  </si>
  <si>
    <t>N - 73.11 Activities of advertising agencies</t>
  </si>
  <si>
    <t>NACE_N7311</t>
  </si>
  <si>
    <t>N - 73.12 Media representation</t>
  </si>
  <si>
    <t>NACE_N7312</t>
  </si>
  <si>
    <t>N - 73.2 Market research and public opinion polling</t>
  </si>
  <si>
    <t>NACE_N732</t>
  </si>
  <si>
    <t>N - 73.20 Market research and public opinion polling</t>
  </si>
  <si>
    <t>NACE_N7320</t>
  </si>
  <si>
    <t>N - 73.3 Public relations and communication activities</t>
  </si>
  <si>
    <t>NACE_N733</t>
  </si>
  <si>
    <t>N - 73.30 Public relations and communication activities</t>
  </si>
  <si>
    <t>NACE_N7330</t>
  </si>
  <si>
    <t>N - 74 Other professional, scientific and technical activities</t>
  </si>
  <si>
    <t>NACE_N74</t>
  </si>
  <si>
    <t>N - 74.1 Specialised design activities</t>
  </si>
  <si>
    <t>NACE_N741</t>
  </si>
  <si>
    <t>N - 74.11 Industrial product and fashion design activities</t>
  </si>
  <si>
    <t>NACE_N7411</t>
  </si>
  <si>
    <t>N - 74.12 Graphic design and visual communication activities</t>
  </si>
  <si>
    <t>NACE_N7412</t>
  </si>
  <si>
    <t>N - 74.13 Interior design activities</t>
  </si>
  <si>
    <t>NACE_N7413</t>
  </si>
  <si>
    <t>N - 74.14 Other specialised design activities</t>
  </si>
  <si>
    <t>NACE_N7414</t>
  </si>
  <si>
    <t>N - 74.2 Photographic activities</t>
  </si>
  <si>
    <t>NACE_N742</t>
  </si>
  <si>
    <t>N - 74.20 Photographic activities</t>
  </si>
  <si>
    <t>NACE_N7420</t>
  </si>
  <si>
    <t>N - 74.3 Translation and interpretation activities</t>
  </si>
  <si>
    <t>NACE_N743</t>
  </si>
  <si>
    <t>N - 74.30 Translation and interpretation activities</t>
  </si>
  <si>
    <t>NACE_N7430</t>
  </si>
  <si>
    <t>N - 74.9 Other professional, scientific and technical activities n.e.c.</t>
  </si>
  <si>
    <t>NACE_N749</t>
  </si>
  <si>
    <t>N - 74.91 Patent brokering and marketing service activities</t>
  </si>
  <si>
    <t>NACE_N7491</t>
  </si>
  <si>
    <t>N - 74.99 All other professional, scientific and technical activities n.e.c.</t>
  </si>
  <si>
    <t>NACE_N7499</t>
  </si>
  <si>
    <t>N - 75 Veterinary activities</t>
  </si>
  <si>
    <t>NACE_N75</t>
  </si>
  <si>
    <t>N - 75.0 Veterinary activities</t>
  </si>
  <si>
    <t>NACE_N750</t>
  </si>
  <si>
    <t>N - 75.00 Veterinary activities</t>
  </si>
  <si>
    <t>NACE_N7500</t>
  </si>
  <si>
    <t>O - ADMINISTRATIVE AND SUPPORT SERVICE ACTIVITIES</t>
  </si>
  <si>
    <t>NACE_O</t>
  </si>
  <si>
    <t>O - 77 Rental and leasing activities</t>
  </si>
  <si>
    <t>NACE_O77</t>
  </si>
  <si>
    <t>O - 77.1 Rental and leasing of motor vehicles</t>
  </si>
  <si>
    <t>NACE_O771</t>
  </si>
  <si>
    <t>O - 77.11 Rental and leasing of cars and light motor vehicles</t>
  </si>
  <si>
    <t>NACE_O7711</t>
  </si>
  <si>
    <t>O - 77.12 Rental and leasing of trucks</t>
  </si>
  <si>
    <t>NACE_O7712</t>
  </si>
  <si>
    <t>O - 77.2 Rental and leasing of personal and household goods</t>
  </si>
  <si>
    <t>NACE_O772</t>
  </si>
  <si>
    <t>O - 77.21 Rental and leasing of recreational and sports goods</t>
  </si>
  <si>
    <t>NACE_O7721</t>
  </si>
  <si>
    <t>O - 77.22 Rental and leasing of other personal and household goods</t>
  </si>
  <si>
    <t>NACE_O7722</t>
  </si>
  <si>
    <t>O - 77.3 Rental and leasing of other machinery, equipment and tangible goods</t>
  </si>
  <si>
    <t>NACE_O773</t>
  </si>
  <si>
    <t>O - 77.31 Rental and leasing of agricultural machinery and equipment</t>
  </si>
  <si>
    <t>NACE_O7731</t>
  </si>
  <si>
    <t>O - 77.32 Rental and leasing of construction and civil engineering machinery and equipment</t>
  </si>
  <si>
    <t>NACE_O7732</t>
  </si>
  <si>
    <t>O - 77.33 Rental and leasing of office machinery, equipment and computers</t>
  </si>
  <si>
    <t>NACE_O7733</t>
  </si>
  <si>
    <t>O - 77.34 Rental and leasing of water transport equipment</t>
  </si>
  <si>
    <t>NACE_O7734</t>
  </si>
  <si>
    <t>O - 77.35 Rental and leasing of air transport equipment</t>
  </si>
  <si>
    <t>NACE_O7735</t>
  </si>
  <si>
    <t>O - 77.39 Rental and leasing of other machinery, equipment and tangible goods n.e.c.</t>
  </si>
  <si>
    <t>NACE_O7739</t>
  </si>
  <si>
    <t>O - 77.4 Leasing of intellectual property and similar products, except copyrighted works</t>
  </si>
  <si>
    <t>NACE_O774</t>
  </si>
  <si>
    <t>O - 77.40 Leasing of intellectual property and similar products, except copyrighted works</t>
  </si>
  <si>
    <t>NACE_O7740</t>
  </si>
  <si>
    <t>O - 77.5 Intermediation service activities for rental and leasing of tangible goods and non-financial intangible assets</t>
  </si>
  <si>
    <t>NACE_O775</t>
  </si>
  <si>
    <t>O - 77.51 Intermediation service activities for rental and leasing of cars, motorhomes and trailers</t>
  </si>
  <si>
    <t>NACE_O7751</t>
  </si>
  <si>
    <t>O - 77.52 Intermediation service activities for rental and leasing of other tangible goods and non-financial intangible assets</t>
  </si>
  <si>
    <t>NACE_O7752</t>
  </si>
  <si>
    <t>O - 78 Employment activities</t>
  </si>
  <si>
    <t>NACE_O78</t>
  </si>
  <si>
    <t>O - 78.1 Activities of employment placement agencies</t>
  </si>
  <si>
    <t>NACE_O781</t>
  </si>
  <si>
    <t>O - 78.10 Activities of employment placement agencies</t>
  </si>
  <si>
    <t>NACE_O7810</t>
  </si>
  <si>
    <t>O - 78.2 Temporary employment agency activities and other human resource provisions</t>
  </si>
  <si>
    <t>NACE_O782</t>
  </si>
  <si>
    <t>O - 78.20 Temporary employment agency activities and other human resource provisions</t>
  </si>
  <si>
    <t>NACE_O7820</t>
  </si>
  <si>
    <t>O - 79 Travel agency, tour operator and other reservation service and related activities</t>
  </si>
  <si>
    <t>NACE_O79</t>
  </si>
  <si>
    <t>O - 79.1 Travel agency and tour operator activities</t>
  </si>
  <si>
    <t>NACE_O791</t>
  </si>
  <si>
    <t>O - 79.11 Travel agency activities</t>
  </si>
  <si>
    <t>NACE_O7911</t>
  </si>
  <si>
    <t>O - 79.12 Tour operator activities</t>
  </si>
  <si>
    <t>NACE_O7912</t>
  </si>
  <si>
    <t>O - 79.9 Other reservation service and related activities</t>
  </si>
  <si>
    <t>NACE_O799</t>
  </si>
  <si>
    <t>O - 79.90 Other reservation service and related activities</t>
  </si>
  <si>
    <t>NACE_O7990</t>
  </si>
  <si>
    <t>O - 80 Investigation and security activities</t>
  </si>
  <si>
    <t>NACE_O80</t>
  </si>
  <si>
    <t>O - 80.0 Investigation and security activities</t>
  </si>
  <si>
    <t>NACE_O800</t>
  </si>
  <si>
    <t>O - 80.01 Investigation and private security activities</t>
  </si>
  <si>
    <t>NACE_O8001</t>
  </si>
  <si>
    <t>O - 80.09 Security activities n.e.c.</t>
  </si>
  <si>
    <t>NACE_O8009</t>
  </si>
  <si>
    <t>O - 81 Services to buildings and landscape activities</t>
  </si>
  <si>
    <t>NACE_O81</t>
  </si>
  <si>
    <t>O - 81.1 Combined facilities support activities</t>
  </si>
  <si>
    <t>NACE_O811</t>
  </si>
  <si>
    <t>O - 81.10 Combined facilities support activities</t>
  </si>
  <si>
    <t>NACE_O8110</t>
  </si>
  <si>
    <t>O - 81.2 Cleaning activities</t>
  </si>
  <si>
    <t>NACE_O812</t>
  </si>
  <si>
    <t>O - 81.21 General cleaning of buildings</t>
  </si>
  <si>
    <t>NACE_O8121</t>
  </si>
  <si>
    <t>O - 81.22 Other building and industrial cleaning activities</t>
  </si>
  <si>
    <t>NACE_O8122</t>
  </si>
  <si>
    <t>O - 81.23 Other cleaning activities</t>
  </si>
  <si>
    <t>NACE_O8123</t>
  </si>
  <si>
    <t>O - 81.3 Landscape service activities</t>
  </si>
  <si>
    <t>NACE_O813</t>
  </si>
  <si>
    <t>O - 81.30 Landscape service activities</t>
  </si>
  <si>
    <t>NACE_O8130</t>
  </si>
  <si>
    <t>O - 82 Office administrative, office support and other business support activities</t>
  </si>
  <si>
    <t>NACE_O82</t>
  </si>
  <si>
    <t>O - 82.1 Office administrative and support activities</t>
  </si>
  <si>
    <t>NACE_O821</t>
  </si>
  <si>
    <t>O - 82.10 Office administrative and support activities</t>
  </si>
  <si>
    <t>NACE_O8210</t>
  </si>
  <si>
    <t>O - 82.2 Activities of call centres</t>
  </si>
  <si>
    <t>NACE_O822</t>
  </si>
  <si>
    <t>O - 82.20 Activities of call centres</t>
  </si>
  <si>
    <t>NACE_O8220</t>
  </si>
  <si>
    <t>O - 82.3 Organisation of conventions and trade shows</t>
  </si>
  <si>
    <t>NACE_O823</t>
  </si>
  <si>
    <t>O - 82.30 Organisation of conventions and trade shows</t>
  </si>
  <si>
    <t>NACE_O8230</t>
  </si>
  <si>
    <t>O - 82.4 Intermediation service activities for business support service activities n.e.c.</t>
  </si>
  <si>
    <t>NACE_O824</t>
  </si>
  <si>
    <t>O - 82.40 Intermediation service activities for business support service activities n.e.c.</t>
  </si>
  <si>
    <t>NACE_O8240</t>
  </si>
  <si>
    <t>O - 82.9 Business support service activities n.e.c.</t>
  </si>
  <si>
    <t>NACE_O829</t>
  </si>
  <si>
    <t>O - 82.91 Activities of collection agencies and credit bureaus</t>
  </si>
  <si>
    <t>NACE_O8291</t>
  </si>
  <si>
    <t>O - 82.92 Packaging activities</t>
  </si>
  <si>
    <t>NACE_O8292</t>
  </si>
  <si>
    <t>O - 82.99 Other business support service activities n.e.c.</t>
  </si>
  <si>
    <t>NACE_O8299</t>
  </si>
  <si>
    <t>P - PUBLIC ADMINISTRATION AND DEFENCE; COMPULSORY SOCIAL SECURITY</t>
  </si>
  <si>
    <t>NACE_P</t>
  </si>
  <si>
    <t>P - 84 Public administration and defence; compulsory social security</t>
  </si>
  <si>
    <t>NACE_P84</t>
  </si>
  <si>
    <t>P - 84.1 Administration of the State and the economic, social and environmental policies of the community</t>
  </si>
  <si>
    <t>NACE_P841</t>
  </si>
  <si>
    <t>P - 84.11 General public administration activities</t>
  </si>
  <si>
    <t>NACE_P8411</t>
  </si>
  <si>
    <t>P - 84.12 Regulation of health care, education, cultural services and other social services</t>
  </si>
  <si>
    <t>NACE_P8412</t>
  </si>
  <si>
    <t>P - 84.13 Regulation of and contribution to more efficient operation of businesses</t>
  </si>
  <si>
    <t>NACE_P8413</t>
  </si>
  <si>
    <t>P - 84.2 Provision of services to the community as a whole</t>
  </si>
  <si>
    <t>NACE_P842</t>
  </si>
  <si>
    <t>P - 84.21 Foreign affairs</t>
  </si>
  <si>
    <t>NACE_P8421</t>
  </si>
  <si>
    <t>P - 84.22 Defence activities</t>
  </si>
  <si>
    <t>NACE_P8422</t>
  </si>
  <si>
    <t>P - 84.23 Justice and judicial activities</t>
  </si>
  <si>
    <t>NACE_P8423</t>
  </si>
  <si>
    <t>P - 84.24 Public order and safety activities</t>
  </si>
  <si>
    <t>NACE_P8424</t>
  </si>
  <si>
    <t>P - 84.25 Fire service activities</t>
  </si>
  <si>
    <t>NACE_P8425</t>
  </si>
  <si>
    <t>P - 84.3 Compulsory social security activities</t>
  </si>
  <si>
    <t>NACE_P843</t>
  </si>
  <si>
    <t>P - 84.30 Compulsory social security activities</t>
  </si>
  <si>
    <t>NACE_P8430</t>
  </si>
  <si>
    <t>Q - EDUCATION</t>
  </si>
  <si>
    <t>NACE_Q</t>
  </si>
  <si>
    <t>Q - 85 Education</t>
  </si>
  <si>
    <t>NACE_Q85</t>
  </si>
  <si>
    <t>Q - 85.1 Pre-primary education</t>
  </si>
  <si>
    <t>NACE_Q851</t>
  </si>
  <si>
    <t>Q - 85.10 Pre-primary education</t>
  </si>
  <si>
    <t>NACE_Q8510</t>
  </si>
  <si>
    <t>Q - 85.2 Primary education</t>
  </si>
  <si>
    <t>NACE_Q852</t>
  </si>
  <si>
    <t>Q - 85.20 Primary education</t>
  </si>
  <si>
    <t>NACE_Q8520</t>
  </si>
  <si>
    <t>Q - 85.3 Secondary and post-secondary non-tertiary education</t>
  </si>
  <si>
    <t>NACE_Q853</t>
  </si>
  <si>
    <t>Q - 85.31 General secondary education</t>
  </si>
  <si>
    <t>NACE_Q8531</t>
  </si>
  <si>
    <t>Q - 85.32 Vocational secondary education</t>
  </si>
  <si>
    <t>NACE_Q8532</t>
  </si>
  <si>
    <t>Q - 85.33 Post-secondary non-tertiary education</t>
  </si>
  <si>
    <t>NACE_Q8533</t>
  </si>
  <si>
    <t>Q - 85.4 Tertiary education</t>
  </si>
  <si>
    <t>NACE_Q854</t>
  </si>
  <si>
    <t>Q - 85.40 Tertiary education</t>
  </si>
  <si>
    <t>NACE_Q8540</t>
  </si>
  <si>
    <t>Q - 85.5 Other education</t>
  </si>
  <si>
    <t>NACE_Q855</t>
  </si>
  <si>
    <t>Q - 85.51 Sports and recreation education</t>
  </si>
  <si>
    <t>NACE_Q8551</t>
  </si>
  <si>
    <t>Q - 85.52 Cultural education</t>
  </si>
  <si>
    <t>NACE_Q8552</t>
  </si>
  <si>
    <t>Q - 85.53 Driving school activities</t>
  </si>
  <si>
    <t>NACE_Q8553</t>
  </si>
  <si>
    <t>Q - 85.59 Other education n.e.c.</t>
  </si>
  <si>
    <t>NACE_Q8559</t>
  </si>
  <si>
    <t>Q - 85.6 Educational support activities</t>
  </si>
  <si>
    <t>NACE_Q856</t>
  </si>
  <si>
    <t>Q - 85.61 Intermediation service activities for courses and tutors</t>
  </si>
  <si>
    <t>NACE_Q8561</t>
  </si>
  <si>
    <t>Q - 85.69 Educational support activities n.e.c.</t>
  </si>
  <si>
    <t>NACE_Q8569</t>
  </si>
  <si>
    <t>R - HUMAN HEALTH AND SOCIAL WORK ACTIVITIES</t>
  </si>
  <si>
    <t>NACE_R</t>
  </si>
  <si>
    <t>R - 86 Human health activities</t>
  </si>
  <si>
    <t>NACE_R86</t>
  </si>
  <si>
    <t>R - 86.1 Hospital activities</t>
  </si>
  <si>
    <t>NACE_R861</t>
  </si>
  <si>
    <t>R - 86.10 Hospital activities</t>
  </si>
  <si>
    <t>NACE_R8610</t>
  </si>
  <si>
    <t>R - 86.2 Medical and dental practice activities</t>
  </si>
  <si>
    <t>NACE_R862</t>
  </si>
  <si>
    <t>R - 86.21 General medical practice activities</t>
  </si>
  <si>
    <t>NACE_R8621</t>
  </si>
  <si>
    <t>R - 86.22 Medical specialists activities</t>
  </si>
  <si>
    <t>NACE_R8622</t>
  </si>
  <si>
    <t>R - 86.23 Dental practice care activities</t>
  </si>
  <si>
    <t>NACE_R8623</t>
  </si>
  <si>
    <t>R - 86.9 Other human health activities</t>
  </si>
  <si>
    <t>NACE_R869</t>
  </si>
  <si>
    <t>R - 86.91 Diagnostic imaging services and medical laboratory activities</t>
  </si>
  <si>
    <t>NACE_R8691</t>
  </si>
  <si>
    <t>R - 86.92 Patient transportation by ambulance</t>
  </si>
  <si>
    <t>NACE_R8692</t>
  </si>
  <si>
    <t>R - 86.93 Activities of psychologists and psychotherapists, except medical doctors</t>
  </si>
  <si>
    <t>NACE_R8693</t>
  </si>
  <si>
    <t>R - 86.94 Nursing and midwifery activities</t>
  </si>
  <si>
    <t>NACE_R8694</t>
  </si>
  <si>
    <t>R - 86.95 Physiotherapy activities</t>
  </si>
  <si>
    <t>NACE_R8695</t>
  </si>
  <si>
    <t>R - 86.96 Traditional, complementary and alternative medicine activities</t>
  </si>
  <si>
    <t>NACE_R8696</t>
  </si>
  <si>
    <t>R - 86.97 Intermediation service activities for medical, dental and other human health services</t>
  </si>
  <si>
    <t>NACE_R8697</t>
  </si>
  <si>
    <t>R - 86.99 Other human health activities n.e.c.</t>
  </si>
  <si>
    <t>NACE_R8699</t>
  </si>
  <si>
    <t>R - 87 Residential care activities</t>
  </si>
  <si>
    <t>NACE_R87</t>
  </si>
  <si>
    <t>R - 87.1 Residential nursing care activities</t>
  </si>
  <si>
    <t>NACE_R871</t>
  </si>
  <si>
    <t>R - 87.10 Residential nursing care activities</t>
  </si>
  <si>
    <t>NACE_R8710</t>
  </si>
  <si>
    <t>R - 87.2 Residential care activities for persons living with or having a diagnosis of a mental illness or substance abuse</t>
  </si>
  <si>
    <t>NACE_R872</t>
  </si>
  <si>
    <t>R - 87.20 Residential care activities for persons living with or having a diagnosis of a mental illness or substance abuse</t>
  </si>
  <si>
    <t>NACE_R8720</t>
  </si>
  <si>
    <t>R - 87.3 Residential care activities for older persons or persons with physical disabilities</t>
  </si>
  <si>
    <t>NACE_R873</t>
  </si>
  <si>
    <t>R - 87.30 Residential care activities for older persons or persons with physical disabilities</t>
  </si>
  <si>
    <t>NACE_R8730</t>
  </si>
  <si>
    <t>R - 87.9 Other residential care activities</t>
  </si>
  <si>
    <t>NACE_R879</t>
  </si>
  <si>
    <t>R - 87.91 Intermediation service activities for residential care activities</t>
  </si>
  <si>
    <t>NACE_R8791</t>
  </si>
  <si>
    <t>R - 87.99 Other residential care activities n.e.c.</t>
  </si>
  <si>
    <t>NACE_R8799</t>
  </si>
  <si>
    <t>R - 88 Social work activities without accommodation</t>
  </si>
  <si>
    <t>NACE_R88</t>
  </si>
  <si>
    <t>R - 88.1 Social work activities without accommodation for older persons or persons with disabilities</t>
  </si>
  <si>
    <t>NACE_R881</t>
  </si>
  <si>
    <t>R - 88.10 Social work activities without accommodation for older persons or persons with disabilities</t>
  </si>
  <si>
    <t>NACE_R8810</t>
  </si>
  <si>
    <t>R - 88.9 Other social work activities without accommodation</t>
  </si>
  <si>
    <t>NACE_R889</t>
  </si>
  <si>
    <t>R - 88.91 Child day-care activities</t>
  </si>
  <si>
    <t>NACE_R8891</t>
  </si>
  <si>
    <t>R - 88.99 Other social work activities without accommodation n.e.c.</t>
  </si>
  <si>
    <t>NACE_R8899</t>
  </si>
  <si>
    <t>S - ARTS, SPORTS AND RECREATION</t>
  </si>
  <si>
    <t>NACE_S</t>
  </si>
  <si>
    <t>S - 90 Arts creation and performing arts activities</t>
  </si>
  <si>
    <t>NACE_S90</t>
  </si>
  <si>
    <t>S - 90.1 Arts creation activities</t>
  </si>
  <si>
    <t>NACE_S901</t>
  </si>
  <si>
    <t>S - 90.11 Literary creation and musical composition activities</t>
  </si>
  <si>
    <t>NACE_S9011</t>
  </si>
  <si>
    <t>S - 90.12 Visual arts creation activities</t>
  </si>
  <si>
    <t>NACE_S9012</t>
  </si>
  <si>
    <t>S - 90.13 Other arts creation activities</t>
  </si>
  <si>
    <t>NACE_S9013</t>
  </si>
  <si>
    <t>S - 90.2 Activities of performing arts</t>
  </si>
  <si>
    <t>NACE_S902</t>
  </si>
  <si>
    <t>S - 90.20 Activities of performing arts</t>
  </si>
  <si>
    <t>NACE_S9020</t>
  </si>
  <si>
    <t>S - 90.3 Support activities to arts creation and performing arts</t>
  </si>
  <si>
    <t>NACE_S903</t>
  </si>
  <si>
    <t>S - 90.31 Operation of arts facilities and sites</t>
  </si>
  <si>
    <t>NACE_S9031</t>
  </si>
  <si>
    <t>S - 90.39 Other support activities to arts and performing arts</t>
  </si>
  <si>
    <t>NACE_S9039</t>
  </si>
  <si>
    <t>S - 91 Libraries, archives, museums and other cultural activities</t>
  </si>
  <si>
    <t>NACE_S91</t>
  </si>
  <si>
    <t>S - 91.1 Library and archive activities</t>
  </si>
  <si>
    <t>NACE_S911</t>
  </si>
  <si>
    <t>S - 91.11 Library activities</t>
  </si>
  <si>
    <t>NACE_S9111</t>
  </si>
  <si>
    <t>S - 91.12 Archive activities</t>
  </si>
  <si>
    <t>NACE_S9112</t>
  </si>
  <si>
    <t>S - 91.2 Museum, collection, historical site and monument activities</t>
  </si>
  <si>
    <t>NACE_S912</t>
  </si>
  <si>
    <t>S - 91.21 Museum and collection activities</t>
  </si>
  <si>
    <t>NACE_S9121</t>
  </si>
  <si>
    <t>S - 91.22 Historical site and monument activities</t>
  </si>
  <si>
    <t>NACE_S9122</t>
  </si>
  <si>
    <t>S - 91.3 Conservation, restoration and other support activities for cultural heritage</t>
  </si>
  <si>
    <t>NACE_S913</t>
  </si>
  <si>
    <t>S - 91.30 Conservation, restoration and other support activities for cultural heritage</t>
  </si>
  <si>
    <t>NACE_S9130</t>
  </si>
  <si>
    <t>S - 91.4 Botanical and zoological garden and nature reserve activities</t>
  </si>
  <si>
    <t>NACE_S914</t>
  </si>
  <si>
    <t>S - 91.41 Botanical and zoological garden activities</t>
  </si>
  <si>
    <t>NACE_S9141</t>
  </si>
  <si>
    <t>S - 91.42 Nature reserve activities</t>
  </si>
  <si>
    <t>NACE_S9142</t>
  </si>
  <si>
    <t>S - 92 Gambling and betting activities</t>
  </si>
  <si>
    <t>NACE_S92</t>
  </si>
  <si>
    <t>S - 92.0 Gambling and betting activities</t>
  </si>
  <si>
    <t>NACE_S920</t>
  </si>
  <si>
    <t>S - 92.00 Gambling and betting activities</t>
  </si>
  <si>
    <t>NACE_S9200</t>
  </si>
  <si>
    <t>S - 93 Sports activities and amusement and recreation activities</t>
  </si>
  <si>
    <t>NACE_S93</t>
  </si>
  <si>
    <t>S - 93.1 Sports activities</t>
  </si>
  <si>
    <t>NACE_S931</t>
  </si>
  <si>
    <t>S - 93.11 Operation of sports facilities</t>
  </si>
  <si>
    <t>NACE_S9311</t>
  </si>
  <si>
    <t>S - 93.12 Activities of sports clubs</t>
  </si>
  <si>
    <t>NACE_S9312</t>
  </si>
  <si>
    <t>S - 93.13 Activities of fitness centres</t>
  </si>
  <si>
    <t>NACE_S9313</t>
  </si>
  <si>
    <t>S - 93.19 Sports activities n.e.c.</t>
  </si>
  <si>
    <t>NACE_S9319</t>
  </si>
  <si>
    <t>S - 93.2 Amusement and recreation activities</t>
  </si>
  <si>
    <t>NACE_S932</t>
  </si>
  <si>
    <t>S - 93.21 Activities of amusement parks and theme parks</t>
  </si>
  <si>
    <t>NACE_S9321</t>
  </si>
  <si>
    <t>S - 93.29 Amusement and recreation activities n.e.c.</t>
  </si>
  <si>
    <t>NACE_S9329</t>
  </si>
  <si>
    <t>T - OTHER SERVICE ACTIVITIES</t>
  </si>
  <si>
    <t>NACE_T</t>
  </si>
  <si>
    <t>T - 94 Activities of membership organisations</t>
  </si>
  <si>
    <t>NACE_T94</t>
  </si>
  <si>
    <t>T - 94.1 Activities of business, employers and professional membership organisations</t>
  </si>
  <si>
    <t>NACE_T941</t>
  </si>
  <si>
    <t>T - 94.11 Activities of business and employers membership organisations</t>
  </si>
  <si>
    <t>NACE_T9411</t>
  </si>
  <si>
    <t>T - 94.12 Activities of professional membership organisations</t>
  </si>
  <si>
    <t>NACE_T9412</t>
  </si>
  <si>
    <t>T - 94.2 Activities of trade unions</t>
  </si>
  <si>
    <t>NACE_T942</t>
  </si>
  <si>
    <t>T - 94.20 Activities of trade unions</t>
  </si>
  <si>
    <t>NACE_T9420</t>
  </si>
  <si>
    <t>T - 94.9 Activities of other membership organisations</t>
  </si>
  <si>
    <t>NACE_T949</t>
  </si>
  <si>
    <t>T - 94.91 Activities of religious organisations</t>
  </si>
  <si>
    <t>NACE_T9491</t>
  </si>
  <si>
    <t>T - 94.92 Activities of political organisations</t>
  </si>
  <si>
    <t>NACE_T9492</t>
  </si>
  <si>
    <t>T - 94.99 Activities of other membership organisations n.e.c.</t>
  </si>
  <si>
    <t>NACE_T9499</t>
  </si>
  <si>
    <t>T - 95 Repair and maintenance of computers, personal and household goods, and motor vehicles and motorcycles</t>
  </si>
  <si>
    <t>NACE_T95</t>
  </si>
  <si>
    <t>T - 95.1 Repair and maintenance of computers and communication equipment</t>
  </si>
  <si>
    <t>NACE_T951</t>
  </si>
  <si>
    <t>T - 95.10 Repair and maintenance of computers and communication equipment</t>
  </si>
  <si>
    <t>NACE_T9510</t>
  </si>
  <si>
    <t>T - 95.2 Repair and maintenance of personal and household goods</t>
  </si>
  <si>
    <t>NACE_T952</t>
  </si>
  <si>
    <t>T - 95.21 Repair and maintenance of consumer electronics</t>
  </si>
  <si>
    <t>NACE_T9521</t>
  </si>
  <si>
    <t>T - 95.22 Repair and maintenance of household appliances and home and garden equipment</t>
  </si>
  <si>
    <t>NACE_T9522</t>
  </si>
  <si>
    <t>T - 95.23 Repair and maintenance of footwear and leather goods</t>
  </si>
  <si>
    <t>NACE_T9523</t>
  </si>
  <si>
    <t>T - 95.24 Repair and maintenance of furniture and home furnishings</t>
  </si>
  <si>
    <t>NACE_T9524</t>
  </si>
  <si>
    <t>T - 95.25 Repair and maintenance of watches, clocks and jewellery</t>
  </si>
  <si>
    <t>NACE_T9525</t>
  </si>
  <si>
    <t>T - 95.29 Repair and maintenance of personal and household goods n.e.c.</t>
  </si>
  <si>
    <t>NACE_T9529</t>
  </si>
  <si>
    <t>T - 95.3 Repair and maintenance of motor vehicles and motorcycles</t>
  </si>
  <si>
    <t>NACE_T953</t>
  </si>
  <si>
    <t>T - 95.31 Repair and maintenance of motor vehicles</t>
  </si>
  <si>
    <t>NACE_T9531</t>
  </si>
  <si>
    <t>T - 95.32 Repair and maintenance of motorcycles</t>
  </si>
  <si>
    <t>NACE_T9532</t>
  </si>
  <si>
    <t>T - 95.4 Intermediation service activities for repair and maintenance of computers, personal and household goods, and motor vehicles and motorcycles</t>
  </si>
  <si>
    <t>NACE_T954</t>
  </si>
  <si>
    <t>T - 95.40 Intermediation service activities for repair and maintenance of computers, personal and household goods, and motor vehicles and motorcycles</t>
  </si>
  <si>
    <t>NACE_T9540</t>
  </si>
  <si>
    <t>T - 96 Personal service activities</t>
  </si>
  <si>
    <t>NACE_T96</t>
  </si>
  <si>
    <t>T - 96.1 Washing and cleaning of textile and fur products</t>
  </si>
  <si>
    <t>NACE_T961</t>
  </si>
  <si>
    <t>T - 96.10 Washing and cleaning of textile and fur products</t>
  </si>
  <si>
    <t>NACE_T9610</t>
  </si>
  <si>
    <t>T - 96.2 Hairdressing, beauty treatment, day spa and similar activities</t>
  </si>
  <si>
    <t>NACE_T962</t>
  </si>
  <si>
    <t>T - 96.21 Hairdressing and barber activities</t>
  </si>
  <si>
    <t>NACE_T9621</t>
  </si>
  <si>
    <t>T - 96.22 Beauty care and other beauty treatment activities</t>
  </si>
  <si>
    <t>NACE_T9622</t>
  </si>
  <si>
    <t>T - 96.23 Day spa, sauna and steam bath activities</t>
  </si>
  <si>
    <t>NACE_T9623</t>
  </si>
  <si>
    <t>T - 96.3 Funeral and related activities</t>
  </si>
  <si>
    <t>NACE_T963</t>
  </si>
  <si>
    <t>T - 96.30 Funeral and related activities</t>
  </si>
  <si>
    <t>NACE_T9630</t>
  </si>
  <si>
    <t>T - 96.4 Intermediation service activities for personal services</t>
  </si>
  <si>
    <t>NACE_T964</t>
  </si>
  <si>
    <t>T - 96.40 Intermediation service activities for personal services</t>
  </si>
  <si>
    <t>NACE_T9640</t>
  </si>
  <si>
    <t>T - 96.9 Other personal service activities</t>
  </si>
  <si>
    <t>NACE_T969</t>
  </si>
  <si>
    <t>T - 96.91 Provision of domestic personal service activities</t>
  </si>
  <si>
    <t>NACE_T9691</t>
  </si>
  <si>
    <t>T - 96.99 Other personal service activities n.e.c.</t>
  </si>
  <si>
    <t>NACE_T9699</t>
  </si>
  <si>
    <t>U - ACTIVITIES OF HOUSEHOLDS AS EMPLOYERS AND UNDIFFERENTIATED GOODS – AND SERVICE-PRODUCING ACTIVITIES OF HOUSEHOLDS FOR OWN USE</t>
  </si>
  <si>
    <t>NACE_U</t>
  </si>
  <si>
    <t>U - 97 Activities of households as employers of domestic personnel</t>
  </si>
  <si>
    <t>NACE_U97</t>
  </si>
  <si>
    <t>U - 97.0 Activities of households as employers of domestic personnel</t>
  </si>
  <si>
    <t>NACE_U970</t>
  </si>
  <si>
    <t>U - 97.00 Activities of households as employers of domestic personnel</t>
  </si>
  <si>
    <t>NACE_U9700</t>
  </si>
  <si>
    <t>U - 98 Undifferentiated goods- and service-producing activities of private households for own use</t>
  </si>
  <si>
    <t>NACE_U98</t>
  </si>
  <si>
    <t>U - 98.1 Undifferentiated goods-producing activities of private households for own use</t>
  </si>
  <si>
    <t>NACE_U981</t>
  </si>
  <si>
    <t>U - 98.10 Undifferentiated goods-producing activities of private households for own use</t>
  </si>
  <si>
    <t>NACE_U9810</t>
  </si>
  <si>
    <t>U - 98.2 Undifferentiated service-producing activities of private households for own use</t>
  </si>
  <si>
    <t>NACE_U982</t>
  </si>
  <si>
    <t>U - 98.20 Undifferentiated service-producing activities of private households for own use</t>
  </si>
  <si>
    <t>NACE_U9820</t>
  </si>
  <si>
    <t>V - ACTIVITIES OF EXTRATERRITORIAL ORGANISATIONS AND BODIES</t>
  </si>
  <si>
    <t>NACE_V</t>
  </si>
  <si>
    <t>V - 99 Activities of extraterritorial organisations and bodies</t>
  </si>
  <si>
    <t>NACE_V99</t>
  </si>
  <si>
    <t>V - 99.0 Activities of extraterritorial organisations and bodies</t>
  </si>
  <si>
    <t>NACE_V990</t>
  </si>
  <si>
    <t>V - 99.00 Activities of extraterritorial organisations and bodies</t>
  </si>
  <si>
    <t>NACE_V9900</t>
  </si>
  <si>
    <t>Practice</t>
  </si>
  <si>
    <t>Policy</t>
  </si>
  <si>
    <t>Workers in the value chain</t>
  </si>
  <si>
    <t>NACE_AllEconomicActivitiesNAMembeB1r</t>
  </si>
  <si>
    <t>B1 – Basis for preparation</t>
  </si>
  <si>
    <t>B2 – Practices, policies and future initiatives for transitioning towards a more sustainable economy</t>
  </si>
  <si>
    <t>B3 – Energy and greenhouse gas emissions</t>
  </si>
  <si>
    <t>B5 – Biodiversity</t>
  </si>
  <si>
    <t>B6 – Water</t>
  </si>
  <si>
    <t>C2 – Description of practices, policies and future initiatives for transitioning towards a more sustainable economy</t>
  </si>
  <si>
    <t>C3 – GHG reduction targets and climate transition</t>
  </si>
  <si>
    <t>sole proprietorship</t>
  </si>
  <si>
    <t>NACE Technical Name</t>
  </si>
  <si>
    <t>None</t>
  </si>
  <si>
    <t>Axis</t>
  </si>
  <si>
    <t>Xylenes</t>
  </si>
  <si>
    <t>Vinyl chloride</t>
  </si>
  <si>
    <t>Triphenyltin and compounds</t>
  </si>
  <si>
    <t>Trifluralin</t>
  </si>
  <si>
    <t>Trichloromethane</t>
  </si>
  <si>
    <t>Trichloroethylene</t>
  </si>
  <si>
    <t>Trichlorobenzenes (TCBs) (all isomers)</t>
  </si>
  <si>
    <t>Tributyltin and compounds</t>
  </si>
  <si>
    <t>Toxaphene</t>
  </si>
  <si>
    <t>Total phosphorus</t>
  </si>
  <si>
    <t>Total nitrogen</t>
  </si>
  <si>
    <t>Toluene</t>
  </si>
  <si>
    <t>Tetrachloromethane (TCM)</t>
  </si>
  <si>
    <t>Tetrachloroethylene (PER)</t>
  </si>
  <si>
    <t>Sulphur oxides (SOx/SO2)</t>
  </si>
  <si>
    <t>Sulphur hexafluoride (SF6)</t>
  </si>
  <si>
    <t>Simazine</t>
  </si>
  <si>
    <t>Polycyclic aromatic hydrocarbons (PAHs)</t>
  </si>
  <si>
    <t>Polychlorinated biphenyls (PCBs)</t>
  </si>
  <si>
    <t>Perfluorooctanoic acid (PFOA) and its salts</t>
  </si>
  <si>
    <t>Perfluorohexane-1-sulfonic acid (PFHxS) and its salts</t>
  </si>
  <si>
    <t>Perfluorocarbons (PFCs)</t>
  </si>
  <si>
    <t>Pentachlorophenol (PCP)</t>
  </si>
  <si>
    <t>Pentachlorobenzene</t>
  </si>
  <si>
    <t>Octylphenols and Octylphenol ethoxylates</t>
  </si>
  <si>
    <t>Nonylphenol and Nonylphenol ethoxylates (NP/NPEs)</t>
  </si>
  <si>
    <t>Non-methane volatile organic compounds (NMVOC)</t>
  </si>
  <si>
    <t>Nitrous oxide (N2O)</t>
  </si>
  <si>
    <t>Nitrogen oxides (NOx/NO2)</t>
  </si>
  <si>
    <t>Naphthalene</t>
  </si>
  <si>
    <t>Mirex</t>
  </si>
  <si>
    <t>Methane (CH4)</t>
  </si>
  <si>
    <t>Lindane</t>
  </si>
  <si>
    <t>Isoproturon</t>
  </si>
  <si>
    <t>Isodrin</t>
  </si>
  <si>
    <t>Hydrogen cyanide (HCN)</t>
  </si>
  <si>
    <t>Hydro-fluorocarbons (HFCs)</t>
  </si>
  <si>
    <t>Hydrochlorofluorocarbons (HCFCs)</t>
  </si>
  <si>
    <t>Hexachlorobutadiene (HCBD)</t>
  </si>
  <si>
    <t>Hexachlorobenzene (HCB)</t>
  </si>
  <si>
    <t>Hexabromobiphenyl</t>
  </si>
  <si>
    <t>Heptachlor</t>
  </si>
  <si>
    <t>Halons</t>
  </si>
  <si>
    <t>Fluoranthene</t>
  </si>
  <si>
    <t>Ethylene oxide</t>
  </si>
  <si>
    <t>Ethyl benzene</t>
  </si>
  <si>
    <t>Endrin</t>
  </si>
  <si>
    <t>Endosulphan</t>
  </si>
  <si>
    <t>Diuron</t>
  </si>
  <si>
    <t>Dieldrin</t>
  </si>
  <si>
    <t>Dicofol</t>
  </si>
  <si>
    <t>Dichloromethane (DCM)</t>
  </si>
  <si>
    <t>Di-(2-ethyl hexyl) phthalate (DEHP)</t>
  </si>
  <si>
    <t>DDT</t>
  </si>
  <si>
    <t>Chlorpyrifos</t>
  </si>
  <si>
    <t>Chlorofluorocarbons (CFCs)</t>
  </si>
  <si>
    <t>Chloro-alkanes, C10-C13</t>
  </si>
  <si>
    <t>Chlorfenvinphos</t>
  </si>
  <si>
    <t>Chlordecone</t>
  </si>
  <si>
    <t>Chlordane</t>
  </si>
  <si>
    <t>Carbon monoxide (CO)</t>
  </si>
  <si>
    <t>Carbon dioxide (CO2)</t>
  </si>
  <si>
    <t>Brominated diphenylethers (PBDE)</t>
  </si>
  <si>
    <t>Benzo(g,h,i)perylene</t>
  </si>
  <si>
    <t>Benzene</t>
  </si>
  <si>
    <t>Atrazine</t>
  </si>
  <si>
    <t>Asbestos</t>
  </si>
  <si>
    <t>Anthracene</t>
  </si>
  <si>
    <t>Ammonia (NH3)</t>
  </si>
  <si>
    <t>Aldrin</t>
  </si>
  <si>
    <t>Alachlor</t>
  </si>
  <si>
    <t>Location biodiversity areas</t>
  </si>
  <si>
    <t>Located in biodiversity sensitive areas</t>
  </si>
  <si>
    <t>Located near biodiversity sesnistive areas</t>
  </si>
  <si>
    <t>01 WASTES RESULTING FROM EXPLORATION, MINING, DRESSING AND FURTHER TREATMENT OF MINERALS AND QUARRY</t>
  </si>
  <si>
    <t>02 WASTES FROM AGRICULTURAL, HORTICULTURAL, HUNTING, FISHING AND AQUACULTURAL PRIMARY PRODUCTION, FOOD PREPARATION AND PROCESSING</t>
  </si>
  <si>
    <t>03 WASTES FROM WOOD PROCESSING AND THE PRODUCTION OF PAPER, CARDBOARD, PULP, PANELS AND FURNITURE</t>
  </si>
  <si>
    <t>04 WASTES FROM THE LEATHER, FUR AND TEXTILE INDUSTRIES</t>
  </si>
  <si>
    <t>05 WASTES FROM PETROLEUM REFINING, NATURAL GAS PURIFICATION AND PYROLYTIC TREATMENT OF COAL</t>
  </si>
  <si>
    <t>06 WASTES FROM INORGANIC CHEMICAL PROCESSES</t>
  </si>
  <si>
    <t>07 WASTES FROM ORGANIC CHEMICAL PROCESSES</t>
  </si>
  <si>
    <t>08 WASTES FROM THE MANUFACTURE, FORMULATION, SUPPLY AND USE (MFSU) OF COATINGS (PAINTS, VARNISHES AND VITREOUS ENAMELS), ADHESIVES, SEALANTS AND PRINTING INKS</t>
  </si>
  <si>
    <t>09 WASTES FROM THE PHOTOGRAPHIC INDUSTRY</t>
  </si>
  <si>
    <t>10 INORGANIC WASTES FROM THERMAL PROCESSES</t>
  </si>
  <si>
    <t>11 INORGANIC METAL-CONTAINING WASTES FROM METAL TREATMENT AND THE COATING OF METALS, AND NON-FERROUS HYDROMETALLURGY</t>
  </si>
  <si>
    <t>12 WASTES FROM SHAPING AND SURFACE TREATMENT OF METALS AND PLASTICS</t>
  </si>
  <si>
    <t>13 OIL WASTES (except edible oils, wastes from petroleum refining, natural gas purification and pyrolytic treatment of coal and wastes from shaping and surface treatment of metals and plastics)</t>
  </si>
  <si>
    <t>15 WASTE PACKAGING; ABSORBENTS, WIPING CLOTHS, FILTER MATERIALS AND PROTECTIVE CLOTHING NOT OTHERWISE SPECIFIED</t>
  </si>
  <si>
    <t>16 WASTES NOT OTHERWISE SPECIFIED IN THE LIST</t>
  </si>
  <si>
    <t>17 CONSTRUCTION AND DEMOLITION WASTES (INCLUDING ROAD CONSTRUCTION)</t>
  </si>
  <si>
    <t>18 WASTES FROM HUMAN OR ANIMAL HEALTH CARE AND/OR RELATED RESEARCH (except kitchen and restaurant wastes not arising from immediate health care)</t>
  </si>
  <si>
    <t>19 WASTES FROM WASTE TREATMENT FACILITIES, OFF-SITE WASTE WATER TREATMENT PLANTS AND THE WATER INDUSTRY</t>
  </si>
  <si>
    <t>20 MUNICIPAL WASTES AND SIMILAR COMMERCIAL, INDUSTRIAL AND INSTITUTIONAL WASTES INCLUDING SEPARATELY COLLECTED FRACTIONS</t>
  </si>
  <si>
    <t>private limited liability undertaking</t>
  </si>
  <si>
    <t>partnership</t>
  </si>
  <si>
    <t>cooperative</t>
  </si>
  <si>
    <t>other (please specify the legal form in the row below)</t>
  </si>
  <si>
    <t>Undertakings Legal Forms</t>
  </si>
  <si>
    <t>Unit of measurement</t>
  </si>
  <si>
    <t>kilograms (kg)</t>
  </si>
  <si>
    <t>NACE sector classification code(s)</t>
  </si>
  <si>
    <t>Name of the key material</t>
  </si>
  <si>
    <t>Type of waste</t>
  </si>
  <si>
    <t>metric tonnes (t)</t>
  </si>
  <si>
    <t>cubic meters (m³)</t>
  </si>
  <si>
    <t>Total annual mass-flow of relevant materials used (mass in kg)</t>
  </si>
  <si>
    <t xml:space="preserve">        020105 Hazardous Waste - Agrochemical wastes</t>
  </si>
  <si>
    <t xml:space="preserve">        010102 Non-Hazardous Waste - Waste from mineral non-metalliferous excavation</t>
  </si>
  <si>
    <t xml:space="preserve">        010201 Non-Hazardous Waste - Wastes from the dressing of metalliferous minerals</t>
  </si>
  <si>
    <t xml:space="preserve">        010202 Non-Hazardous Waste - Wastes from the dressing on non-metalliferous minerals</t>
  </si>
  <si>
    <t xml:space="preserve">        010301 Non-Hazardous Waste - Tailings</t>
  </si>
  <si>
    <t xml:space="preserve">        010302 Non-Hazardous Waste - Dusty and powdery waste</t>
  </si>
  <si>
    <t xml:space="preserve">        010303 Non-Hazardous Waste - Red mud from alumina production</t>
  </si>
  <si>
    <t xml:space="preserve">        010399 Non-Hazardous Waste - Wastes not otherwise specified</t>
  </si>
  <si>
    <t xml:space="preserve">        010401 Non-Hazardous Waste - Waste gravel and crushed rocks</t>
  </si>
  <si>
    <t xml:space="preserve">        010402 Non-Hazardous Waste - Waste sand and clays</t>
  </si>
  <si>
    <t xml:space="preserve">        010403 Non-Hazardous Waste - Dusy and powdery waste</t>
  </si>
  <si>
    <t xml:space="preserve">        010404 Non-Hazardous Waste - Waste from potash and rock-salt processing</t>
  </si>
  <si>
    <t xml:space="preserve">        010405 Non-Hazardous Waste - Waste from washing and cleaning of minerals</t>
  </si>
  <si>
    <t xml:space="preserve">        010406 Non-Hazardous Waste - Waste from stone cutting and sawing</t>
  </si>
  <si>
    <t xml:space="preserve">        010499 Non-Hazardous Waste - Waste not otherwise specified</t>
  </si>
  <si>
    <t xml:space="preserve">        010501 Non-Hazardous Waste - Oil-containing drilling muds and wastes</t>
  </si>
  <si>
    <t xml:space="preserve">        010502 Non-Hazardous Waste - Barite-containing drilling muds and wastes</t>
  </si>
  <si>
    <t xml:space="preserve">        010503 Non-Hazardous Waste - Chloride-containing drilling muds and wastes</t>
  </si>
  <si>
    <t xml:space="preserve">        010504 Non-Hazardous Waste - Fresh-water drilling muds and wastes</t>
  </si>
  <si>
    <t xml:space="preserve">        010599 Non-Hazardous Waste - Wastes not otherwise specified</t>
  </si>
  <si>
    <t xml:space="preserve">        020101 Non-Hazardous Waste - Sludges from washing and cleaning</t>
  </si>
  <si>
    <t xml:space="preserve">        020102 Non-Hazardous Waste - Animal tissue waste</t>
  </si>
  <si>
    <t xml:space="preserve">        020103 Non-Hazardous Waste - Plant tissue waste</t>
  </si>
  <si>
    <t xml:space="preserve">        020104 Non-Hazardous Waste - Waste plastics (except packaging)</t>
  </si>
  <si>
    <t xml:space="preserve">        020106 Non-Hazardous Waste - Animal faeces, urine and manure (including spoiled straw), effluent, collected separately and treated off-site</t>
  </si>
  <si>
    <t xml:space="preserve">        020107 Non-Hazardous Waste - Waste from forestry exploitation</t>
  </si>
  <si>
    <t xml:space="preserve">        020199 Non-Hazardous Waste - Waste not otherwise specified</t>
  </si>
  <si>
    <t xml:space="preserve">        020201 Non-Hazardous Waste - Sludges from washing and cleaning</t>
  </si>
  <si>
    <t xml:space="preserve">        020202 Non-Hazardous Waste - Animal tissue waste</t>
  </si>
  <si>
    <t xml:space="preserve">        020203 Non-Hazardous Waste - Material unsuitable for consumption or processing</t>
  </si>
  <si>
    <t xml:space="preserve">        020204 Non-Hazardous Waste - Sludges from on-site effluent treatment</t>
  </si>
  <si>
    <t xml:space="preserve">        020299 Non-Hazardous Waste - Waste not otherwise specified</t>
  </si>
  <si>
    <t xml:space="preserve">        020301 Non-Hazardous Waste - Sludges from washing, cleaning, peeling, centrifuging and separation</t>
  </si>
  <si>
    <t xml:space="preserve">        020302 Non-Hazardous Waste - Waste from preserving agents</t>
  </si>
  <si>
    <t xml:space="preserve">        020303 Non-Hazardous Waste - Waste from solvent extraction</t>
  </si>
  <si>
    <t xml:space="preserve">        020304 Non-Hazardous Waste - Materials unsuitable for consumption or processing</t>
  </si>
  <si>
    <t xml:space="preserve">        020305 Non-Hazardous Waste - Sludges from on-site effluent treatment</t>
  </si>
  <si>
    <t xml:space="preserve">        020399 Non-Hazardous Waste - Wastes not otherwise specified</t>
  </si>
  <si>
    <t xml:space="preserve">        020401 Non-Hazardous Waste - Soil from cleaning and washing beet</t>
  </si>
  <si>
    <t xml:space="preserve">        020402 Non-Hazardous Waste - Off-specification calcium carbonate</t>
  </si>
  <si>
    <t xml:space="preserve">        020403 Non-Hazardous Waste - Sludges from on-site effluent treatment</t>
  </si>
  <si>
    <t xml:space="preserve">        020499 Non-Hazardous Waste - Wastes not otherwise specified</t>
  </si>
  <si>
    <t xml:space="preserve">        020501 Non-Hazardous Waste - Materials unsuitable for consumption or processing</t>
  </si>
  <si>
    <t xml:space="preserve">        020502 Non-Hazardous Waste - Sludges from on-site effluent treatment</t>
  </si>
  <si>
    <t xml:space="preserve">        020599 Non-Hazardous Waste - Wastes not otherwise specified</t>
  </si>
  <si>
    <t xml:space="preserve">        020601 Non-Hazardous Waste - Materials unsuitable for consumption or processing</t>
  </si>
  <si>
    <t xml:space="preserve">        020602 Non-Hazardous Waste - Wastes from preserving agents</t>
  </si>
  <si>
    <t xml:space="preserve">        020603 Non-Hazardous Waste - Sludges from on-site effluent treatment</t>
  </si>
  <si>
    <t xml:space="preserve">        020699 Non-Hazardous Waste - Wastes not otherwiese specified</t>
  </si>
  <si>
    <t xml:space="preserve">        020701 Non-Hazardous Waste - Waste from washing, cleaning and mechanical reduction of raw materials</t>
  </si>
  <si>
    <t xml:space="preserve">        020702 Non-Hazardous Waste - Waste from spirits distillation</t>
  </si>
  <si>
    <t xml:space="preserve">        020703 Non-Hazardous Waste - Waste from chemical treatment</t>
  </si>
  <si>
    <t xml:space="preserve">        020704 Non-Hazardous Waste - Materials unsuitable for consumption or processing</t>
  </si>
  <si>
    <t xml:space="preserve">        020705 Non-Hazardous Waste - Sludges from on-site effluent treatment</t>
  </si>
  <si>
    <t xml:space="preserve">        020799 Non-Hazardous Waste - Wastes not otherwise specified</t>
  </si>
  <si>
    <t xml:space="preserve">        030201 Non-Hazardous Waste - Non-halogenated organic wood preservatives</t>
  </si>
  <si>
    <t xml:space="preserve">        030202 Non-Hazardous Waste - Organochlorinated wood preservatives</t>
  </si>
  <si>
    <t xml:space="preserve">        030203 Non-Hazardous Waste - Organometallic wood preservatives</t>
  </si>
  <si>
    <t xml:space="preserve">        030204 Non-Hazardous Waste - Inorganic wood preservatives</t>
  </si>
  <si>
    <t xml:space="preserve">        030301 Non-Hazardous Waste - Bark</t>
  </si>
  <si>
    <t xml:space="preserve">        030302 Non-Hazardous Waste - Dregs and green liquor sludges (from black liquor treatment)</t>
  </si>
  <si>
    <t xml:space="preserve">        030303 Non-Hazardous Waste - Bleaching sludges from hypochlorite and chlorine processes</t>
  </si>
  <si>
    <t xml:space="preserve">        030304 Non-Hazardous Waste - Bleaching sludges from other bleaching processes</t>
  </si>
  <si>
    <t xml:space="preserve">        030305 Non-Hazardous Waste - De-inking sludges from paper recycling</t>
  </si>
  <si>
    <t xml:space="preserve">        030306 Non-Hazardous Waste - Fibre and paper sludge</t>
  </si>
  <si>
    <t xml:space="preserve">        030307 Non-Hazardous Waste - Rejects from paper and cardboard recycling</t>
  </si>
  <si>
    <t xml:space="preserve">        030399 Non-Hazardous Waste - Wastes not otherwise specified</t>
  </si>
  <si>
    <t xml:space="preserve">        040101 Non-Hazardous Waste - Fleshings and lime split waste</t>
  </si>
  <si>
    <t xml:space="preserve">        040102 Non-Hazardous Waste - Liming waste</t>
  </si>
  <si>
    <t xml:space="preserve">        040104 Non-Hazardous Waste - Tanning liquor containing chromium</t>
  </si>
  <si>
    <t xml:space="preserve">        040105 Non-Hazardous Waste - Tanning liquor free of chromium</t>
  </si>
  <si>
    <t xml:space="preserve">        040106 Non-Hazardous Waste - Sludges, in particular from on-site, effluent treatment containing chromium</t>
  </si>
  <si>
    <t xml:space="preserve">        040107 Non-Hazardous Waste - Sludges, in particular from on-site effluent treatment free of chromium</t>
  </si>
  <si>
    <t xml:space="preserve">        040108 Non-Hazardous Waste - Waste tanned leather (blue sheetings, shavings, cuttings, buffing dust) containing chromium</t>
  </si>
  <si>
    <t xml:space="preserve">        040109 Non-Hazardous Waste - Waste from dressing and finishing</t>
  </si>
  <si>
    <t xml:space="preserve">        040199 Non-Hazardous Waste - Waste not otherwise specified</t>
  </si>
  <si>
    <t xml:space="preserve">        040201 Non-Hazardous Waste - Waste from unprocessed textile fibres and other natural fibrous substances mainly of vegetable origin</t>
  </si>
  <si>
    <t xml:space="preserve">        040202 Non-Hazardous Waste - Waste from unprocessed textile fibres mainly of animal origin</t>
  </si>
  <si>
    <t xml:space="preserve">        040203 Non-Hazardous Waste - Waste from unprocessed textile fibres mainly of artificial or synthetic origin</t>
  </si>
  <si>
    <t xml:space="preserve">        040204 Non-Hazardous Waste - Waste from unprocessed mixed textile fibres before spinning and weaving</t>
  </si>
  <si>
    <t xml:space="preserve">        040205 Non-Hazardous Waste - Waste from processed textile fibres mainly of vegetable origin</t>
  </si>
  <si>
    <t xml:space="preserve">        040206 Non-Hazardous Waste - Waste from processed textile fibres mainly of animal origin</t>
  </si>
  <si>
    <t xml:space="preserve">        040207 Non-Hazardous Waste - Waste from processed fibres mainly of artifical or synthetic origin</t>
  </si>
  <si>
    <t xml:space="preserve">        040208 Non-Hazardous Waste - Waste from processed mixed textile fibres</t>
  </si>
  <si>
    <t xml:space="preserve">        040209 Non-Hazardous Waste - Waste from composite materials (impregnated textile, elastomer, plastomer)</t>
  </si>
  <si>
    <t xml:space="preserve">        040210 Non-Hazardous Waste - Organic matter from natural products (e.g. grease, wax)</t>
  </si>
  <si>
    <t xml:space="preserve">        040215 Non-Hazardous Waste - Other wastes from finishing</t>
  </si>
  <si>
    <t xml:space="preserve">        040217 Non-Hazardous Waste - Other dyestuffs and pigments</t>
  </si>
  <si>
    <t xml:space="preserve">        040220 Non-Hazardous Waste - Other sludges from on-site effluent treatment</t>
  </si>
  <si>
    <t xml:space="preserve">        040299 Non-Hazardous Waste - Wastes not otherwise specified</t>
  </si>
  <si>
    <t xml:space="preserve">        050102 Non-Hazardous Waste - Desalter sludges</t>
  </si>
  <si>
    <t xml:space="preserve">        050106 Non-Hazardous Waste - Sludges from plant, equipment and maintenance operations</t>
  </si>
  <si>
    <t xml:space="preserve">        050110 Non-Hazardous Waste - Other sludges from on-site effluent treatment</t>
  </si>
  <si>
    <t xml:space="preserve">        050199 Non-Hazardous Waste - Wastes not otherwise specified</t>
  </si>
  <si>
    <t xml:space="preserve">        050201 Non-Hazardous Waste - Boiler feedwater sludges</t>
  </si>
  <si>
    <t xml:space="preserve">        050202 Non-Hazardous Waste - Waste from cooling columns</t>
  </si>
  <si>
    <t xml:space="preserve">        050299 Non-Hazardous Waste - Wastes not otherwise specified</t>
  </si>
  <si>
    <t xml:space="preserve">        050501 Non-Hazardous Waste - Waste containing sulphur</t>
  </si>
  <si>
    <t xml:space="preserve">        050599 Non-Hazardous Waste - Wastes not otherwise specified</t>
  </si>
  <si>
    <t xml:space="preserve">        050602 Non-Hazardous Waste - Asphalt</t>
  </si>
  <si>
    <t xml:space="preserve">        050604 Non-Hazardous Waste - Waste from cooling columns</t>
  </si>
  <si>
    <t xml:space="preserve">        050699 Non-Hazardous Waste - Wastes not otherwise specified</t>
  </si>
  <si>
    <t xml:space="preserve">        050702 Non-Hazardous Waste - Waste containing sulphur</t>
  </si>
  <si>
    <t xml:space="preserve">        050799 Non-Hazardous Waste - Wastes not otherwise specified</t>
  </si>
  <si>
    <t xml:space="preserve">        060301 Non-Hazardous Waste - Carbonates (except off-specification calcium carbonate)</t>
  </si>
  <si>
    <t xml:space="preserve">        060302 Non-Hazardous Waste - Saline solutions containing sulphates, sulphites or sulphides</t>
  </si>
  <si>
    <t xml:space="preserve">        060303 Non-Hazardous Waste - Solid salts containing sulphates, sulphites or sulphides</t>
  </si>
  <si>
    <t xml:space="preserve">        060304 Non-Hazardous Waste - Saline solutions containing chlorides, fluorides and halides</t>
  </si>
  <si>
    <t xml:space="preserve">        060305 Non-Hazardous Waste - Solid salts containing chlorides, fluorides and other halogenated solid salts</t>
  </si>
  <si>
    <t xml:space="preserve">        060306 Non-Hazardous Waste - Saline solutions containing phosphates and related solid salts</t>
  </si>
  <si>
    <t xml:space="preserve">        060307 Non-Hazardous Waste - Phosphates and related solid salts</t>
  </si>
  <si>
    <t xml:space="preserve">        060308 Non-Hazardous Waste - Saline solutions containing nitrates and related compounds</t>
  </si>
  <si>
    <t xml:space="preserve">        060309 Non-Hazardous Waste - Solid salts containing nitrides (nitrometallic)</t>
  </si>
  <si>
    <t xml:space="preserve">        060310 Non-Hazardous Waste - Solid salts containing ammonium</t>
  </si>
  <si>
    <t xml:space="preserve">        060312 Non-Hazardous Waste - Salts and solutions containing organic compounds</t>
  </si>
  <si>
    <t xml:space="preserve">        060399 Non-Hazardous Waste - Wastes not otherwise specified</t>
  </si>
  <si>
    <t xml:space="preserve">        060401 Non-Hazardous Waste - Metallic oxides</t>
  </si>
  <si>
    <t xml:space="preserve">        060499 Non-Hazardous Waste - Wastes not otherwise specified</t>
  </si>
  <si>
    <t xml:space="preserve">        060503 Non-Hazardous Waste - Other sludges from on-site effluent treatment</t>
  </si>
  <si>
    <t xml:space="preserve">        060601 Non-Hazardous Waste - Waste containing sulphur</t>
  </si>
  <si>
    <t xml:space="preserve">        060699 Non-Hazardous Waste - Wastes not otherwise specified</t>
  </si>
  <si>
    <t xml:space="preserve">        060799 Non-Hazardous Waste - Wastes not otherwise specified</t>
  </si>
  <si>
    <t xml:space="preserve">        060801 Non-Hazardous Waste - Waste from production of silicon and silicon derivatives</t>
  </si>
  <si>
    <t xml:space="preserve">        060901 Non-Hazardous Waste - Phosphogypsum</t>
  </si>
  <si>
    <t xml:space="preserve">        060902 Non-Hazardous Waste - Phosphorous slag</t>
  </si>
  <si>
    <t xml:space="preserve">        060999 Non-Hazardous Waste - Wastes not otherwise specified</t>
  </si>
  <si>
    <t xml:space="preserve">        061001 Non-Hazardous Waste - Waste from nitrogen chemical processes and fertiliser manufacture</t>
  </si>
  <si>
    <t xml:space="preserve">        061101 Non-Hazardous Waste - Gypsum from titanium dioxide production</t>
  </si>
  <si>
    <t xml:space="preserve">        061199 Non-Hazardous Waste - Wastes not otherwise specified</t>
  </si>
  <si>
    <t xml:space="preserve">        061303 Non-Hazardous Waste - Carbon black</t>
  </si>
  <si>
    <t xml:space="preserve">        061399 Non-Hazardous Waste - Wastes not otherwise specified</t>
  </si>
  <si>
    <t xml:space="preserve">        070112 Non-Hazardous Waste - Other sludges from on-site effluent treatment</t>
  </si>
  <si>
    <t xml:space="preserve">        070199 Non-Hazardous Waste - Wastes not otherwise specified</t>
  </si>
  <si>
    <t xml:space="preserve">        070212 Non-Hazardous Waste - Other sludges from on-site effluent treatment</t>
  </si>
  <si>
    <t xml:space="preserve">        070213 Non-Hazardous Waste - Waste plastic</t>
  </si>
  <si>
    <t xml:space="preserve">        070299 Non-Hazardous Waste - Wastes not otherwise specified</t>
  </si>
  <si>
    <t xml:space="preserve">        070312 Non-Hazardous Waste - Other sludges from on-site effluent treatment</t>
  </si>
  <si>
    <t xml:space="preserve">        070399 Non-Hazardous Waste - Wastes not otherwise specified</t>
  </si>
  <si>
    <t xml:space="preserve">        070412 Non-Hazardous Waste - Other sludges from on-site effluent treatment</t>
  </si>
  <si>
    <t xml:space="preserve">        070499 Non-Hazardous Waste - Wastes not otherwise specified</t>
  </si>
  <si>
    <t xml:space="preserve">        070512 Non-Hazardous Waste - Other sludges from on-site effluent treatment</t>
  </si>
  <si>
    <t xml:space="preserve">        070599 Non-Hazardous Waste - Wastes not otherwise specified</t>
  </si>
  <si>
    <t xml:space="preserve">        070612 Non-Hazardous Waste - Other sludges from on-site effluent treatment</t>
  </si>
  <si>
    <t xml:space="preserve">        070699 Non-Hazardous Waste - Wastes not otherwise specified</t>
  </si>
  <si>
    <t xml:space="preserve">        070712 Non-Hazardous Waste - Other sludges from on-site effluent treatment</t>
  </si>
  <si>
    <t xml:space="preserve">        070799 Non-Hazardous Waste - Wastes not otherwise specified</t>
  </si>
  <si>
    <t xml:space="preserve">        080112 Non-Hazardous Waste - Other waste paints and varnishes</t>
  </si>
  <si>
    <t xml:space="preserve">        080114 Non-Hazardous Waste - Other sludges from paint or varnish</t>
  </si>
  <si>
    <t xml:space="preserve">        080116 Non-Hazardous Waste - </t>
  </si>
  <si>
    <t xml:space="preserve">        080118 Non-Hazardous Waste - Other wastes from paint or varnish removal</t>
  </si>
  <si>
    <t xml:space="preserve">        080120 Non-Hazardous Waste - Other aqueous suspensions containing paint or varnish</t>
  </si>
  <si>
    <t xml:space="preserve">        080199 Non-Hazardous Waste - Wastes not otherwise specified</t>
  </si>
  <si>
    <t xml:space="preserve">        080201 Non-Hazardous Waste - Waste coating powders</t>
  </si>
  <si>
    <t xml:space="preserve">        080202 Non-Hazardous Waste - Aqueous sludges containing ceramic materials</t>
  </si>
  <si>
    <t xml:space="preserve">        080203 Non-Hazardous Waste - Aqueous suspensions containing ceramic materials</t>
  </si>
  <si>
    <t xml:space="preserve">        080299 Non-Hazardous Waste - Wastes not otherwise specified</t>
  </si>
  <si>
    <t xml:space="preserve">        080303 Non-Hazardous Waste - Waste from water-based ink</t>
  </si>
  <si>
    <t xml:space="preserve">        080304 Non-Hazardous Waste - Dried ink</t>
  </si>
  <si>
    <t xml:space="preserve">        080307 Non-Hazardous Waste - Aqueous sludges containing ink</t>
  </si>
  <si>
    <t xml:space="preserve">        080308 Non-Hazardous Waste - Aqueous liquid waste containing ink</t>
  </si>
  <si>
    <t xml:space="preserve">        080309 Non-Hazardous Waste - Waste printing toner (including cartridges)</t>
  </si>
  <si>
    <t xml:space="preserve">        080399 Non-Hazardous Waste - Wastes not otherwise specified</t>
  </si>
  <si>
    <t xml:space="preserve">        080410 Non-Hazardous Waste - Wastes from MFSU of adhesives and sealants (including waterproofing products)</t>
  </si>
  <si>
    <t xml:space="preserve">        080412 Non-Hazardous Waste - Other adhesives and sealant sludges</t>
  </si>
  <si>
    <t xml:space="preserve">        080414 Non-Hazardous Waste - Other aqueous sludges containing adhesives or sealants</t>
  </si>
  <si>
    <t xml:space="preserve">        080416 Non-Hazardous Waste - Other aqueous liquid waste containing adhesives or sealants</t>
  </si>
  <si>
    <t xml:space="preserve">        080499 Non-Hazardous Waste - Wastes not otherwise specified</t>
  </si>
  <si>
    <t xml:space="preserve">        090107 Non-Hazardous Waste - Photographic film and paper containing silver or silver compounds</t>
  </si>
  <si>
    <t xml:space="preserve">        090108 Non-Hazardous Waste - Photographic film and paper free of silver or silver compounds</t>
  </si>
  <si>
    <t xml:space="preserve">        090110 Non-Hazardous Waste - Single-use cameras without batteries</t>
  </si>
  <si>
    <t xml:space="preserve">        090112 Non-Hazardous Waste - Other single-use cameras containing batteries</t>
  </si>
  <si>
    <t xml:space="preserve">        090199 Non-Hazardous Waste - Wastes not otherwise specified</t>
  </si>
  <si>
    <t xml:space="preserve">        100101 Non-Hazardous Waste - Bottom ash</t>
  </si>
  <si>
    <t xml:space="preserve">        100102 Non-Hazardous Waste - Coal fly ash</t>
  </si>
  <si>
    <t xml:space="preserve">        100103 Non-Hazardous Waste - Peat and (untreated) wood fly ash</t>
  </si>
  <si>
    <t xml:space="preserve">        100105 Non-Hazardous Waste - Calcium-based reaction waste from flue gas desulphurisation in solid form</t>
  </si>
  <si>
    <t xml:space="preserve">        100106 Non-Hazardous Waste - Other solid wastes from gas treatment</t>
  </si>
  <si>
    <t xml:space="preserve">        100107 Non-Hazardous Waste - Calcium-based reaction waste from flue gas desulphurisation in sludge form</t>
  </si>
  <si>
    <t xml:space="preserve">        100108 Non-Hazardous Waste - Other sludges from gas treatment</t>
  </si>
  <si>
    <t xml:space="preserve">        100111 Non-Hazardous Waste - Aqueous sludges from boiler cleansing</t>
  </si>
  <si>
    <t xml:space="preserve">        100112 Non-Hazardous Waste - Spent linings and refractories</t>
  </si>
  <si>
    <t xml:space="preserve">        100199 Non-Hazardous Waste - Wastes not otherwise specified</t>
  </si>
  <si>
    <t xml:space="preserve">        100201 Non-Hazardous Waste - Waste from the processing of slag</t>
  </si>
  <si>
    <t xml:space="preserve">        100202 Non-Hazardous Waste - Unprocessed slag</t>
  </si>
  <si>
    <t xml:space="preserve">        100205 Non-Hazardous Waste - Other sludges</t>
  </si>
  <si>
    <t xml:space="preserve">        100206 Non-Hazardous Waste - Spent linings and refractories</t>
  </si>
  <si>
    <t xml:space="preserve">        100208 Non-Hazardous Waste - Others solid wastes from gas treatment of electrical arc furnaces</t>
  </si>
  <si>
    <t xml:space="preserve">        100209 Non-Hazardous Waste - Solid waste from gas treatment of other iron and steel processes</t>
  </si>
  <si>
    <t xml:space="preserve">        100210 Non-Hazardous Waste - Mill scales</t>
  </si>
  <si>
    <t xml:space="preserve">        100212 Non-Hazardous Waste - Other wastes from cooling water treatment</t>
  </si>
  <si>
    <t xml:space="preserve">        100214 Non-Hazardous Waste - Other sludges from gas treatment other</t>
  </si>
  <si>
    <t xml:space="preserve">        100299 Non-Hazardous Waste - Wastes not otherwise specified</t>
  </si>
  <si>
    <t xml:space="preserve">        100302 Non-Hazardous Waste - Anode scraps</t>
  </si>
  <si>
    <t xml:space="preserve">        100305 Non-Hazardous Waste - Alumina dust</t>
  </si>
  <si>
    <t xml:space="preserve">        100306 Non-Hazardous Waste - Used carbon strips and fireproof materials from electrolysis</t>
  </si>
  <si>
    <t xml:space="preserve">        100311 Non-Hazardous Waste - Flue gas dust</t>
  </si>
  <si>
    <t xml:space="preserve">        100312 Non-Hazardous Waste - Other particulates and dust (including ball mill dust)</t>
  </si>
  <si>
    <t xml:space="preserve">        100313 Non-Hazardous Waste - Solid waste from gas treatment</t>
  </si>
  <si>
    <t xml:space="preserve">        100314 Non-Hazardous Waste - Sludges from gas treatment</t>
  </si>
  <si>
    <t xml:space="preserve">        100316 Non-Hazardous Waste - Other skimmings</t>
  </si>
  <si>
    <t xml:space="preserve">        100399 Non-Hazardous Waste - Wastes not otherwise specified</t>
  </si>
  <si>
    <t xml:space="preserve">        100408 Non-Hazardous Waste - Spent linings and refractories</t>
  </si>
  <si>
    <t xml:space="preserve">        100499 Non-Hazardous Waste - Wastes not otherwise specified</t>
  </si>
  <si>
    <t xml:space="preserve">        100502 Non-Hazardous Waste - Dross and skimmings (first and second smelting)</t>
  </si>
  <si>
    <t xml:space="preserve">        100504 Non-Hazardous Waste - Other particulates and dust</t>
  </si>
  <si>
    <t xml:space="preserve">        100507 Non-Hazardous Waste - Spent linings and refractories</t>
  </si>
  <si>
    <t xml:space="preserve">        100599 Non-Hazardous Waste - Wastes not otherwise specified</t>
  </si>
  <si>
    <t xml:space="preserve">        100601 Non-Hazardous Waste - Slags (first and second smelting)</t>
  </si>
  <si>
    <t xml:space="preserve">        100602 Non-Hazardous Waste - Dross and skimmings (first and second smelting)</t>
  </si>
  <si>
    <t xml:space="preserve">        100604 Non-Hazardous Waste - Other particulates and dust</t>
  </si>
  <si>
    <t xml:space="preserve">        100608 Non-Hazardous Waste - Spent linings and refractories</t>
  </si>
  <si>
    <t xml:space="preserve">        100699 Non-Hazardous Waste - Wastes not otherwise specified</t>
  </si>
  <si>
    <t xml:space="preserve">        100701 Non-Hazardous Waste - Slags (first and second smelting)</t>
  </si>
  <si>
    <t xml:space="preserve">        100702 Non-Hazardous Waste - Dross and skimmings (first and second smelting)</t>
  </si>
  <si>
    <t xml:space="preserve">        100703 Non-Hazardous Waste - Solid waste from gas treatment</t>
  </si>
  <si>
    <t xml:space="preserve">        100704 Non-Hazardous Waste - Other particulates and dust</t>
  </si>
  <si>
    <t xml:space="preserve">        100705 Non-Hazardous Waste - Sludges from gas treatment</t>
  </si>
  <si>
    <t xml:space="preserve">        100706 Non-Hazardous Waste - Spent linings and refractories</t>
  </si>
  <si>
    <t xml:space="preserve">        100799 Non-Hazardous Waste - Wastes not otherwise specified</t>
  </si>
  <si>
    <t xml:space="preserve">        100801 Non-Hazardous Waste - Slags (first and second smelting)</t>
  </si>
  <si>
    <t xml:space="preserve">        100802 Non-Hazardous Waste - Dross and skimmings (first and second smelting)</t>
  </si>
  <si>
    <t xml:space="preserve">        100803 Non-Hazardous Waste - Flue gas dust</t>
  </si>
  <si>
    <t xml:space="preserve">        100804 Non-Hazardous Waste - Other particulates and dust</t>
  </si>
  <si>
    <t xml:space="preserve">        100805 Non-Hazardous Waste - Solid waste from gas treatment</t>
  </si>
  <si>
    <t xml:space="preserve">        100806 Non-Hazardous Waste - Sludges from gas treatment</t>
  </si>
  <si>
    <t xml:space="preserve">        100807 Non-Hazardous Waste - Spent linings and refractories</t>
  </si>
  <si>
    <t xml:space="preserve">        100899 Non-Hazardous Waste - Wastes not otherwise specified</t>
  </si>
  <si>
    <t xml:space="preserve">        100901 Non-Hazardous Waste - Casting cores and moulds containing organic binders which have not undergone pouring</t>
  </si>
  <si>
    <t xml:space="preserve">        100902 Non-Hazardous Waste - Casting cores and moulds containing organic binders which have undergone pouring</t>
  </si>
  <si>
    <t xml:space="preserve">        100903 Non-Hazardous Waste - Furnace slag</t>
  </si>
  <si>
    <t xml:space="preserve">        100904 Non-Hazardous Waste - Furnace dust</t>
  </si>
  <si>
    <t xml:space="preserve">        100999 Non-Hazardous Waste - Wastes not otherwise specified</t>
  </si>
  <si>
    <t xml:space="preserve">        101001 Non-Hazardous Waste - Casting cores and moulds containing organic binders which have not undergone pouring</t>
  </si>
  <si>
    <t xml:space="preserve">        101002 Non-Hazardous Waste - Casting cores and moulds containing organic binders which have undergone pouring</t>
  </si>
  <si>
    <t xml:space="preserve">        101003 Non-Hazardous Waste - Furnace slag</t>
  </si>
  <si>
    <t xml:space="preserve">        101004 Non-Hazardous Waste - Furnace dust</t>
  </si>
  <si>
    <t xml:space="preserve">        101099 Non-Hazardous Waste - Wastes not otherwise specified</t>
  </si>
  <si>
    <t xml:space="preserve">        101101 Non-Hazardous Waste - Waste preparation mixture before thermal processing</t>
  </si>
  <si>
    <t xml:space="preserve">        101102 Non-Hazardous Waste - Waste glass</t>
  </si>
  <si>
    <t xml:space="preserve">        101103 Non-Hazardous Waste - Waste glass-based fibrous materials</t>
  </si>
  <si>
    <t xml:space="preserve">        101104 Non-Hazardous Waste - Flue gas dust</t>
  </si>
  <si>
    <t xml:space="preserve">        101105 Non-Hazardous Waste - Other particulates and dust</t>
  </si>
  <si>
    <t xml:space="preserve">        101106 Non-Hazardous Waste - Solid waste from gas treatment</t>
  </si>
  <si>
    <t xml:space="preserve">        101107 Non-Hazardous Waste - Sludges from gas treatment</t>
  </si>
  <si>
    <t xml:space="preserve">        101108 Non-Hazardous Waste - Spent linings and refractories</t>
  </si>
  <si>
    <t xml:space="preserve">        101199 Non-Hazardous Waste - Wastes not otherwise specified</t>
  </si>
  <si>
    <t xml:space="preserve">        101201 Non-Hazardous Waste - Waste preparation mixture before thermal processing</t>
  </si>
  <si>
    <t xml:space="preserve">        101202 Non-Hazardous Waste - Flue gas dust</t>
  </si>
  <si>
    <t xml:space="preserve">        101203 Non-Hazardous Waste - Other particulates and dust</t>
  </si>
  <si>
    <t xml:space="preserve">        101204 Non-Hazardous Waste - Solid waste from gas treatment</t>
  </si>
  <si>
    <t xml:space="preserve">        101205 Non-Hazardous Waste - Sludges from gas treatment</t>
  </si>
  <si>
    <t xml:space="preserve">        101206 Non-Hazardous Waste - Discarded moulds</t>
  </si>
  <si>
    <t xml:space="preserve">        101207 Non-Hazardous Waste - Spent linings and refractories</t>
  </si>
  <si>
    <t xml:space="preserve">        101299 Non-Hazardous Waste - Wastes not otherwise specified</t>
  </si>
  <si>
    <t xml:space="preserve">        101301 Non-Hazardous Waste - Waste preparation mixture before thermal processing</t>
  </si>
  <si>
    <t xml:space="preserve">        101302 Non-Hazardous Waste - Waste from asbestos-cement manufacture</t>
  </si>
  <si>
    <t xml:space="preserve">        101303 Non-Hazardous Waste - Waste from other cement-based composite materials</t>
  </si>
  <si>
    <t xml:space="preserve">        101304 Non-Hazardous Waste - Waste from calcination and hydration of lime</t>
  </si>
  <si>
    <t xml:space="preserve">        101305 Non-Hazardous Waste - Solid waste from gas treatment</t>
  </si>
  <si>
    <t xml:space="preserve">        101306 Non-Hazardous Waste - Other particulates and dust</t>
  </si>
  <si>
    <t xml:space="preserve">        101307 Non-Hazardous Waste - Sludges from gas treatment</t>
  </si>
  <si>
    <t xml:space="preserve">        101308 Non-Hazardous Waste - Spent linings and refractories</t>
  </si>
  <si>
    <t xml:space="preserve">        101399 Non-Hazardous Waste - Wastes not otherwise specified</t>
  </si>
  <si>
    <t xml:space="preserve">        110104 Non-Hazardous Waste - Cyanide-free wastes not containing chromium</t>
  </si>
  <si>
    <t xml:space="preserve">        110201 Non-Hazardous Waste - Sludges from copper hydrometallurgy</t>
  </si>
  <si>
    <t xml:space="preserve">        110203 Non-Hazardous Waste - Waste from the production of anodes for aqueous electrolytical processes</t>
  </si>
  <si>
    <t xml:space="preserve">        110204 Non-Hazardous Waste - Sludges not otherwise specified</t>
  </si>
  <si>
    <t xml:space="preserve">        110401 Non-Hazardous Waste - Other inorganic metal-containing wastes not otherwise specified</t>
  </si>
  <si>
    <t xml:space="preserve">        120101 Non-Hazardous Waste - Ferrous metal filings and turnings</t>
  </si>
  <si>
    <t xml:space="preserve">        120102 Non-Hazardous Waste - Other ferrous metal particles</t>
  </si>
  <si>
    <t xml:space="preserve">        120103 Non-Hazardous Waste - Non-ferrous metal filings and turnings</t>
  </si>
  <si>
    <t xml:space="preserve">        120104 Non-Hazardous Waste - Other non-ferrous metal particles</t>
  </si>
  <si>
    <t xml:space="preserve">        120105 Non-Hazardous Waste - Plastics particles</t>
  </si>
  <si>
    <t xml:space="preserve">        120113 Non-Hazardous Waste - Welding waste</t>
  </si>
  <si>
    <t xml:space="preserve">        120199 Non-Hazardous Waste - Wastes not otherwise specified</t>
  </si>
  <si>
    <t xml:space="preserve">        120201 Non-Hazardous Waste - Spent blasting grit</t>
  </si>
  <si>
    <t xml:space="preserve">        120202 Non-Hazardous Waste - Sludges from grinding, honing and lapping</t>
  </si>
  <si>
    <t xml:space="preserve">        120203 Non-Hazardous Waste - Polishing sludges</t>
  </si>
  <si>
    <t xml:space="preserve">        120299 Non-Hazardous Waste - Wastes not otherwise specified</t>
  </si>
  <si>
    <t xml:space="preserve">        140501 Non-Hazardous Waste - Chlorofluorocarbons</t>
  </si>
  <si>
    <t xml:space="preserve">        140502 Non-Hazardous Waste - Halogenated solvents and solvent mixes</t>
  </si>
  <si>
    <t xml:space="preserve">        140503 Non-Hazardous Waste - Other solvents and solvent mixes</t>
  </si>
  <si>
    <t xml:space="preserve">        140504 Non-Hazardous Waste - Sludges containing halogenated solvents</t>
  </si>
  <si>
    <t xml:space="preserve">        140505 Non-Hazardous Waste - Sludges containing other solvents</t>
  </si>
  <si>
    <t xml:space="preserve">        150101 Non-Hazardous Waste - Paper and cardboard packaging</t>
  </si>
  <si>
    <t xml:space="preserve">        150102 Non-Hazardous Waste - Plastic packaging</t>
  </si>
  <si>
    <t xml:space="preserve">        150103 Non-Hazardous Waste - Wooden packaging</t>
  </si>
  <si>
    <t xml:space="preserve">        150104 Non-Hazardous Waste - Metallic packaging</t>
  </si>
  <si>
    <t xml:space="preserve">        150105 Non-Hazardous Waste - Composite packaging</t>
  </si>
  <si>
    <t xml:space="preserve">        150106 Non-Hazardous Waste - Mixed packaging</t>
  </si>
  <si>
    <t xml:space="preserve">        150107 Non-Hazardous Waste - Glass packaging</t>
  </si>
  <si>
    <t xml:space="preserve">        150203 Non-Hazardous Waste - Other absorbents, filter materials , wiping cloths and protective clothing</t>
  </si>
  <si>
    <t xml:space="preserve">        160103 Non-Hazardous Waste - End-of-life tyres</t>
  </si>
  <si>
    <t xml:space="preserve">        160104 Non-Hazardous Waste - Discarded vehicles</t>
  </si>
  <si>
    <t xml:space="preserve">        160106 Non-Hazardous Waste - End-of-life vehicles, drained of liquids and emptied of other hazardous components</t>
  </si>
  <si>
    <t xml:space="preserve">        160199 Non-Hazardous Waste - Wastes not otherwise specified</t>
  </si>
  <si>
    <t xml:space="preserve">        160214 Non-Hazardous Waste - Other iscarded equipments</t>
  </si>
  <si>
    <t xml:space="preserve">        160216 Non-Hazardous Waste - Other components removed from discarded equipment</t>
  </si>
  <si>
    <t xml:space="preserve">        160301 Non-Hazardous Waste - Inorganic off-specification batches</t>
  </si>
  <si>
    <t xml:space="preserve">        160302 Non-Hazardous Waste - Organic off-specification batches</t>
  </si>
  <si>
    <t xml:space="preserve">        160501 Non-Hazardous Waste - Industrial gases in high pressure cylinders, LPG containers and industrial aerosol containers (including halons)</t>
  </si>
  <si>
    <t xml:space="preserve">        160502 Non-Hazardous Waste - Other waste containing inorganic chemicals, e.g. lab chemicals not otherwise specified, fire extinguishing powders</t>
  </si>
  <si>
    <t xml:space="preserve">        160503 Non-Hazardous Waste - Other waste containing organic chemicals, e.g. lab chemicals not otherwise specified</t>
  </si>
  <si>
    <t xml:space="preserve">        160604 Non-Hazardous Waste - Alkaline batteries (except mercury-containing batteries)</t>
  </si>
  <si>
    <t xml:space="preserve">        160605 Non-Hazardous Waste - Other batteries and accumulators</t>
  </si>
  <si>
    <t xml:space="preserve">        160707 Non-Hazardous Waste - Solid waste from ship cargoes</t>
  </si>
  <si>
    <t xml:space="preserve">        160799 Non-Hazardous Waste - Wastes not otherwise specified</t>
  </si>
  <si>
    <t xml:space="preserve">        160801 Non-Hazardous Waste - Spent catalysts containing gold, silver, rhenium, rhodium, palladium, iridium or platinum (except spent catalysts contaminated with dangerous substances)</t>
  </si>
  <si>
    <t xml:space="preserve">        160803 Non-Hazardous Waste - Spent catalysts containing other transition metals or transition metal compounds (except spent catalysts contaminated with dangerous substances)</t>
  </si>
  <si>
    <t xml:space="preserve">        160804 Non-Hazardous Waste - Spent fluid catalytic cracking catalysts</t>
  </si>
  <si>
    <t xml:space="preserve">        170101 Non-Hazardous Waste - Concrete</t>
  </si>
  <si>
    <t xml:space="preserve">        170102 Non-Hazardous Waste - Bricks</t>
  </si>
  <si>
    <t xml:space="preserve">        170103 Non-Hazardous Waste - Tiles and ceramics</t>
  </si>
  <si>
    <t xml:space="preserve">        170104 Non-Hazardous Waste - Gypsum-based construction materials</t>
  </si>
  <si>
    <t xml:space="preserve">        170105 Non-Hazardous Waste - Asbestos-based construction materials</t>
  </si>
  <si>
    <t xml:space="preserve">        170201 Non-Hazardous Waste - Wood</t>
  </si>
  <si>
    <t xml:space="preserve">        170202 Non-Hazardous Waste - Glass</t>
  </si>
  <si>
    <t xml:space="preserve">        170203 Non-Hazardous Waste - Plastic</t>
  </si>
  <si>
    <t xml:space="preserve">        170301 Non-Hazardous Waste - Asphalt containing tar</t>
  </si>
  <si>
    <t xml:space="preserve">        170302 Non-Hazardous Waste - Asphalt not containing tar</t>
  </si>
  <si>
    <t xml:space="preserve">        170303 Non-Hazardous Waste - Tar and tar products</t>
  </si>
  <si>
    <t xml:space="preserve">        170401 Non-Hazardous Waste - Copper, bronze, brass</t>
  </si>
  <si>
    <t xml:space="preserve">        170402 Non-Hazardous Waste - Aluminium</t>
  </si>
  <si>
    <t xml:space="preserve">        170403 Non-Hazardous Waste - Lead</t>
  </si>
  <si>
    <t xml:space="preserve">        170404 Non-Hazardous Waste - Zinc</t>
  </si>
  <si>
    <t xml:space="preserve">        170405 Non-Hazardous Waste - Iron and steel</t>
  </si>
  <si>
    <t xml:space="preserve">        170406 Non-Hazardous Waste - Tin</t>
  </si>
  <si>
    <t xml:space="preserve">        170407 Non-Hazardous Waste - Mixed metals</t>
  </si>
  <si>
    <t xml:space="preserve">        170408 Non-Hazardous Waste - Cables</t>
  </si>
  <si>
    <t xml:space="preserve">        170504 Non-Hazardous Waste - Other soil and stones</t>
  </si>
  <si>
    <t xml:space="preserve">        170506 Non-Hazardous Waste - Other dredging spoils</t>
  </si>
  <si>
    <t xml:space="preserve">        170602 Non-Hazardous Waste - Other insulation materials</t>
  </si>
  <si>
    <t xml:space="preserve">        180101 Non-Hazardous Waste - Sharps (except waste whose collection and disposal is subject to special requirements in view of the prevention of infection)</t>
  </si>
  <si>
    <t xml:space="preserve">        180102 Non-Hazardous Waste - Body parts and organs including blood bags and blood preserves (except waste whose collection and disposal is subject to special requirements in view of the prevention of infection)</t>
  </si>
  <si>
    <t xml:space="preserve">        180104 Non-Hazardous Waste - Waste whose collection and disposal is not subject to special requirements in view of the prevention of infection, (e.g. dressings, plaster casts, linen, disposable clothing, diapers)</t>
  </si>
  <si>
    <t xml:space="preserve">        180201 Non-Hazardous Waste - Sharps (except waste whose collection and disposal is subject to special requirements in view of the prevention of infection)</t>
  </si>
  <si>
    <t xml:space="preserve">        180203 Non-Hazardous Waste - Waste whose collection and disposal is not subject to special requirements in view of the prevention of infection</t>
  </si>
  <si>
    <t xml:space="preserve">        190102 Non-Hazardous Waste - Ferrous materials removed from bottom ash</t>
  </si>
  <si>
    <t xml:space="preserve">        190199 Non-Hazardous Waste - Wastes not otherwise specified</t>
  </si>
  <si>
    <t xml:space="preserve">        190203 Non-Hazardous Waste - Premixed waste composed only of wastes not marked as hazardous</t>
  </si>
  <si>
    <t xml:space="preserve">        190401 Non-Hazardous Waste - Vitrified waste</t>
  </si>
  <si>
    <t xml:space="preserve">        190404 Non-Hazardous Waste - Aqueous liquid waste from vitrified waste tempering</t>
  </si>
  <si>
    <t xml:space="preserve">        190501 Non-Hazardous Waste - Non-composted fraction of municipal and similar waste</t>
  </si>
  <si>
    <t xml:space="preserve">        190502 Non-Hazardous Waste - Non-composted fraction of animal and vegetable waste</t>
  </si>
  <si>
    <t xml:space="preserve">        190503 Non-Hazardous Waste - Off-specification compost</t>
  </si>
  <si>
    <t xml:space="preserve">        190599 Non-Hazardous Waste - Wastes not otherwise specified</t>
  </si>
  <si>
    <t xml:space="preserve">        190601 Non-Hazardous Waste - Anaerobic treatment sludges of municipal and similar waste</t>
  </si>
  <si>
    <t xml:space="preserve">        190602 Non-Hazardous Waste - Anaerobic treatment sludges of animal and vegetal waste</t>
  </si>
  <si>
    <t xml:space="preserve">        190699 Non-Hazardous Waste - Wastes not otherwise specified</t>
  </si>
  <si>
    <t xml:space="preserve">        190701 Non-Hazardous Waste - Landfill leachate</t>
  </si>
  <si>
    <t xml:space="preserve">        190801 Non-Hazardous Waste - Screenings</t>
  </si>
  <si>
    <t xml:space="preserve">        190802 Non-Hazardous Waste - Waste from desanding</t>
  </si>
  <si>
    <t xml:space="preserve">        190804 Non-Hazardous Waste - Sludges from the treatment of industrial waste water</t>
  </si>
  <si>
    <t xml:space="preserve">        190805 Non-Hazardous Waste - Sludges from treatment of urban waste water</t>
  </si>
  <si>
    <t xml:space="preserve">        190899 Non-Hazardous Waste - Wastes not otherwise specified</t>
  </si>
  <si>
    <t xml:space="preserve">        190901 Non-Hazardous Waste - Solid waste from primary filtration and screenings</t>
  </si>
  <si>
    <t xml:space="preserve">        190902 Non-Hazardous Waste - Sludges from water clarification</t>
  </si>
  <si>
    <t xml:space="preserve">        190903 Non-Hazardous Waste - Sludges from decarbonation</t>
  </si>
  <si>
    <t xml:space="preserve">        190904 Non-Hazardous Waste - Spent activated carbon</t>
  </si>
  <si>
    <t xml:space="preserve">        190905 Non-Hazardous Waste - Saturated or spent ion exchange resins</t>
  </si>
  <si>
    <t xml:space="preserve">        190906 Non-Hazardous Waste - Solutions and sludges from regeneration of ion exchangers</t>
  </si>
  <si>
    <t xml:space="preserve">        190999 Non-Hazardous Waste - Wastes not otherwise specified</t>
  </si>
  <si>
    <t xml:space="preserve">        191001 Non-Hazardous Waste - Iron and steel waste</t>
  </si>
  <si>
    <t xml:space="preserve">        191002 Non-Hazardous Waste - Non-ferrous waste</t>
  </si>
  <si>
    <t xml:space="preserve">        191004 Non-Hazardous Waste - Other fluffs — light fractions</t>
  </si>
  <si>
    <t xml:space="preserve">        191006 Non-Hazardous Waste - Other dusts and other fractions</t>
  </si>
  <si>
    <t xml:space="preserve">        200101 Non-Hazardous Waste - Paper and cardboard</t>
  </si>
  <si>
    <t xml:space="preserve">        200102 Non-Hazardous Waste - Glass</t>
  </si>
  <si>
    <t xml:space="preserve">        200103 Non-Hazardous Waste - Small plastics</t>
  </si>
  <si>
    <t xml:space="preserve">        200104 Non-Hazardous Waste - Other plastics</t>
  </si>
  <si>
    <t xml:space="preserve">        200105 Non-Hazardous Waste - Small metals (cans, etc.)</t>
  </si>
  <si>
    <t xml:space="preserve">        200106 Non-Hazardous Waste - Other metals</t>
  </si>
  <si>
    <t xml:space="preserve">        200107 Non-Hazardous Waste - Wood</t>
  </si>
  <si>
    <t xml:space="preserve">        200108 Non-Hazardous Waste - Organic kitchen waste</t>
  </si>
  <si>
    <t xml:space="preserve">        200110 Non-Hazardous Waste - Clothes</t>
  </si>
  <si>
    <t xml:space="preserve">        200111 Non-Hazardous Waste - Textiles</t>
  </si>
  <si>
    <t xml:space="preserve">        200122 Non-Hazardous Waste - Aerosols</t>
  </si>
  <si>
    <t xml:space="preserve">        200125 Non-Hazardous Waste - Edible oil and fat</t>
  </si>
  <si>
    <t xml:space="preserve">        200128 Non-Hazardous Waste - Other paints, inks, adhesives and resins</t>
  </si>
  <si>
    <t xml:space="preserve">        200130 Non-Hazardous Waste - Other detergents</t>
  </si>
  <si>
    <t xml:space="preserve">        200132 Non-Hazardous Waste - Other medicines</t>
  </si>
  <si>
    <t xml:space="preserve">        200201 Non-Hazardous Waste - Compostable waste</t>
  </si>
  <si>
    <t xml:space="preserve">        200202 Non-Hazardous Waste - Soil and stones</t>
  </si>
  <si>
    <t xml:space="preserve">        200203 Non-Hazardous Waste - Other non-compostable wastes</t>
  </si>
  <si>
    <t xml:space="preserve">        200301 Non-Hazardous Waste - Mixed municipal waste</t>
  </si>
  <si>
    <t xml:space="preserve">        200302 Non-Hazardous Waste - Waste from markets</t>
  </si>
  <si>
    <t xml:space="preserve">        200303 Non-Hazardous Waste - Street cleaning residues</t>
  </si>
  <si>
    <t xml:space="preserve">        200304 Non-Hazardous Waste - Septic tank sludge</t>
  </si>
  <si>
    <t xml:space="preserve">    0101 Wastes from mineral excavation</t>
  </si>
  <si>
    <t xml:space="preserve">    0102 Wastes from mineral dressing</t>
  </si>
  <si>
    <t xml:space="preserve">    0103 Wastes from further physical and chemical processing of metalliferous minerals</t>
  </si>
  <si>
    <t xml:space="preserve">    0104 Wastes from further physical and chemical processing on non-metalliferous minerals</t>
  </si>
  <si>
    <t xml:space="preserve">    0105 Drilling muds and other drilling wastes</t>
  </si>
  <si>
    <t xml:space="preserve">    0201 Primary production wastes</t>
  </si>
  <si>
    <t xml:space="preserve">    0202 Wastes from the preparation and processing of meat, fish and other foods of animal origin</t>
  </si>
  <si>
    <t xml:space="preserve">    0203 Wastes from fruit, vegetables, cereals, edible oils, cocoa, coffee and tobacco preparation and processing; tobacco processing; conserve production</t>
  </si>
  <si>
    <t xml:space="preserve">    0204 Wastes from sugar processing</t>
  </si>
  <si>
    <t xml:space="preserve">    0205 Wastes from the dairy products industry</t>
  </si>
  <si>
    <t xml:space="preserve">    0206 Wastes from the baking and confectionery industry</t>
  </si>
  <si>
    <t xml:space="preserve">    0207 Wastes from the production of alcoholic and non-alcoholic beverages (except coffee, tea and cocoa)</t>
  </si>
  <si>
    <t xml:space="preserve">    0301 Wastes from wood processing and the production of panels and furniture</t>
  </si>
  <si>
    <t xml:space="preserve">    0302 Wood preservation wastes</t>
  </si>
  <si>
    <t xml:space="preserve">    0303 Wastes from pulp, paper and cardboard production and processing</t>
  </si>
  <si>
    <t xml:space="preserve">    0401 Wastes from the leather and fur industry</t>
  </si>
  <si>
    <t xml:space="preserve">    0402 Wastes from the textile industry</t>
  </si>
  <si>
    <t xml:space="preserve">    0501 Oily sludges and solid wastes</t>
  </si>
  <si>
    <t xml:space="preserve">    0502 Non oily sludges and solid wastes</t>
  </si>
  <si>
    <t xml:space="preserve">    0504 Spent filter clays</t>
  </si>
  <si>
    <t xml:space="preserve">    0505 Oil desulphurisation wastes</t>
  </si>
  <si>
    <t xml:space="preserve">    0506 Wastes from the pyrolytic treatment of coal</t>
  </si>
  <si>
    <t xml:space="preserve">    0507 Wastes from natural gas purification</t>
  </si>
  <si>
    <t xml:space="preserve">    0508 Wastes from oil regeneration</t>
  </si>
  <si>
    <t xml:space="preserve">    0601 Waste acidic solutions</t>
  </si>
  <si>
    <t xml:space="preserve">    0602 Waste alkaline solutions</t>
  </si>
  <si>
    <t xml:space="preserve">    0603 Waste salts and their solutions</t>
  </si>
  <si>
    <t xml:space="preserve">    0604 Metal-containing wastes</t>
  </si>
  <si>
    <t xml:space="preserve">    0605 Sludges from on-site effluent treatment</t>
  </si>
  <si>
    <t xml:space="preserve">    0606 Wastes from sulphur chemical processes (production and transformation) and desulphurisation processes</t>
  </si>
  <si>
    <t xml:space="preserve">    0607 Wastes from halogen chemical processes</t>
  </si>
  <si>
    <t xml:space="preserve">    0608 Waste from production of silicon and silicon derivatives</t>
  </si>
  <si>
    <t xml:space="preserve">    0609 Wastes from phosphorus chemical processes</t>
  </si>
  <si>
    <t xml:space="preserve">    0610 Waste from nitrogen chemical processes and fertiliser manufacture</t>
  </si>
  <si>
    <t xml:space="preserve">    0611 Waste from the manufacture of inorganic pigments and opacificiers</t>
  </si>
  <si>
    <t xml:space="preserve">    0613 Wastes from other inorganic chemical processes</t>
  </si>
  <si>
    <t xml:space="preserve">    0701 Wastes from the manufacture, formulation, supply and use (MFSU) of basic organic chemicals</t>
  </si>
  <si>
    <t xml:space="preserve">    0702 Wastes from the MFSU of plastics, synthetic rubber and man-made fibres</t>
  </si>
  <si>
    <t xml:space="preserve">    0703 Wastes from the MFSU of organic dyes and pigments (except waste from the manufacture of inorganic pigments and opacificiers)</t>
  </si>
  <si>
    <t xml:space="preserve">    0704 Wastes from the MFSU of organic pesticides (except agrochemical wastes)</t>
  </si>
  <si>
    <t xml:space="preserve">    0705 Wastes from the MFSU of pharmaceuticals</t>
  </si>
  <si>
    <t xml:space="preserve">    0706 Wastes from the MFSU of fats, grease, soaps, detergents disinfectants and cosmetics</t>
  </si>
  <si>
    <t xml:space="preserve">    0707 Wastes from the MFSU of fine chemicals and chemical products not otherwise specified</t>
  </si>
  <si>
    <t xml:space="preserve">    0801 Wastes from MFSU and removal of paint and varnish</t>
  </si>
  <si>
    <t xml:space="preserve">    0802 Wastes from MFSU of other coatings (including ceramic materials)</t>
  </si>
  <si>
    <t xml:space="preserve">    0803 Wastes from MFSU of printing inks</t>
  </si>
  <si>
    <t xml:space="preserve">    0804 Wastes from MFSU of adhesives and sealants (including waterproofing products)</t>
  </si>
  <si>
    <t xml:space="preserve">    0805 Wastes not otherwise specified</t>
  </si>
  <si>
    <t xml:space="preserve">    0901 Wastes from the photographic industry</t>
  </si>
  <si>
    <t xml:space="preserve">    1001 Wastes from power stations and other combustion plants (except wastes from waste treatment facilities, off-site waste water treatment plants and the water industry)</t>
  </si>
  <si>
    <t xml:space="preserve">    1002 Wastes from the iron and steel industry</t>
  </si>
  <si>
    <t xml:space="preserve">    1003 Wastes from aluminium thermal metallurgy</t>
  </si>
  <si>
    <t xml:space="preserve">    1004 Wastes from lead thermal metallurgy</t>
  </si>
  <si>
    <t xml:space="preserve">    1005 Wastes from zinc thermal metallurgy</t>
  </si>
  <si>
    <t xml:space="preserve">    1006 Wastes from copper thermal metallurgy</t>
  </si>
  <si>
    <t xml:space="preserve">    1007 Wastes from silver, gold and platinum thermal metallurgy</t>
  </si>
  <si>
    <t xml:space="preserve">    1008 Wastes from other non-ferrous thermal metallurgy</t>
  </si>
  <si>
    <t xml:space="preserve">    1009 Wastes from casting of ferrous pieces</t>
  </si>
  <si>
    <t xml:space="preserve">    1010 Wastes from casting of non-ferrous pieces</t>
  </si>
  <si>
    <t xml:space="preserve">    1011 Wastes from manufacture of glass and glass products</t>
  </si>
  <si>
    <t xml:space="preserve">    1012 Wastes from manufacture of ceramic goods, bricks, tiles and construction products</t>
  </si>
  <si>
    <t xml:space="preserve">    1013 Wastes from manufacture of cement, lime and plaster and articles and products made from them</t>
  </si>
  <si>
    <t xml:space="preserve">    1101 Liquid wastes and sludges from metal treatment and coating of metals, (e.g. galvanic processes, zinc coating processes, pickling processes, etching, phosphatising, alkaline degreasing)</t>
  </si>
  <si>
    <t xml:space="preserve">    1102 Wastes and sludges from non-ferrous hydrometallurgical processes</t>
  </si>
  <si>
    <t xml:space="preserve">    1103 Sludges and solids from tempering processes</t>
  </si>
  <si>
    <t xml:space="preserve">    1104 Other inorganic metal-containing wastes not otherwise specified</t>
  </si>
  <si>
    <t xml:space="preserve">    1201 Wastes from shaping (including forgoing, welding, pressing, drawing, turning, cutting and filing)</t>
  </si>
  <si>
    <t xml:space="preserve">    1202 Wastes from mechanical surface treatment processes (blasting, grinding, honing, lapping, polishing)</t>
  </si>
  <si>
    <t xml:space="preserve">    1203 Wastes from water and steam degreasing processes (except inorganic metal-containing wastes from metal treatment and the coating of metals, and non-ferrous hydrometallurgy)</t>
  </si>
  <si>
    <t xml:space="preserve">    1301 Waste hydraulic oils and brake fluids</t>
  </si>
  <si>
    <t xml:space="preserve">    1302 Waste engine, gear and lubricating oils</t>
  </si>
  <si>
    <t xml:space="preserve">    1303 Waste insulating and heat transmission oils and other liquids</t>
  </si>
  <si>
    <t xml:space="preserve">    1304 Bilge oils</t>
  </si>
  <si>
    <t xml:space="preserve">    1305 Oil/water separator contents</t>
  </si>
  <si>
    <t xml:space="preserve">    1306 Oil waste not otherwise specified</t>
  </si>
  <si>
    <t xml:space="preserve">    1401 Wastes from metal degreasing and machinery maintenance</t>
  </si>
  <si>
    <t xml:space="preserve">    1402 Wastes from textile cleaning and degreasing of natural products</t>
  </si>
  <si>
    <t xml:space="preserve">    1403 Wastes from the electronic industry</t>
  </si>
  <si>
    <t xml:space="preserve">    1404 Wastes from coolants, foam/aerosol propellents</t>
  </si>
  <si>
    <t xml:space="preserve">    1405 Wastes from solvent and coolant recovery (still bottoms)</t>
  </si>
  <si>
    <t xml:space="preserve">    1501 Packaging</t>
  </si>
  <si>
    <t xml:space="preserve">    1502 Absorbents, filter materials, wiping cloths and protective clothing</t>
  </si>
  <si>
    <t xml:space="preserve">    1601 End-of-life vehicles and their components</t>
  </si>
  <si>
    <t xml:space="preserve">    1602 Discarded equipment and its components</t>
  </si>
  <si>
    <t xml:space="preserve">    1603 Off-specification batches</t>
  </si>
  <si>
    <t xml:space="preserve">    1604 Waste explosives</t>
  </si>
  <si>
    <t xml:space="preserve">    1605 Chemicals and gases in containers</t>
  </si>
  <si>
    <t xml:space="preserve">    1606 Batteries and accumulators</t>
  </si>
  <si>
    <t xml:space="preserve">    1607 Wastes from transport and storage tank cleaning (except wastes from petroleum refining, natural gas purification and pyrolytic treatment of coal and wastes from shaping and surface treatment of metals and plastics)</t>
  </si>
  <si>
    <t xml:space="preserve">    1608 Spent catalysts</t>
  </si>
  <si>
    <t xml:space="preserve">    1701 Concrete, bricks, tiles, ceramics, and gypsum-based materials</t>
  </si>
  <si>
    <t xml:space="preserve">    1702 Wood, glass and plastic</t>
  </si>
  <si>
    <t xml:space="preserve">    1703 Asphalt, tar and tarred products</t>
  </si>
  <si>
    <t xml:space="preserve">    1704 Metals (including their alloys)</t>
  </si>
  <si>
    <t xml:space="preserve">    1705 Soil and dredging spoil</t>
  </si>
  <si>
    <t xml:space="preserve">    1706 Insulation materials</t>
  </si>
  <si>
    <t xml:space="preserve">    1707 Mixed construction and demolition waste</t>
  </si>
  <si>
    <t xml:space="preserve">    1801 Wastes from natal care, diagnosis, treatment or prevention of disease in humans</t>
  </si>
  <si>
    <t xml:space="preserve">    1802 Wastes from research, diagnosis, treatment or prevention of disease involving animals</t>
  </si>
  <si>
    <t xml:space="preserve">        180208 Non-Hazardous Waste - Medicines other than cytotoxic and cytostatic medicines</t>
  </si>
  <si>
    <t xml:space="preserve">    1901 Wastes from incineration or pyrolysis of waste</t>
  </si>
  <si>
    <t xml:space="preserve">    1902 Wastes from specific physico/chemical treatments of industrial waste, (e.g. dechromatation, decyanidation, neutralisation)</t>
  </si>
  <si>
    <t xml:space="preserve">    1903 Stabilised/solidified wastes</t>
  </si>
  <si>
    <t xml:space="preserve">    1904 Vitrified waste and wastes from vitrification</t>
  </si>
  <si>
    <t xml:space="preserve">    1905 Wastes from aerobic treatment of solid wastes</t>
  </si>
  <si>
    <t xml:space="preserve">    1906 Wastes from anaerobic treatment of waste</t>
  </si>
  <si>
    <t xml:space="preserve">    1907 Landfill leachate</t>
  </si>
  <si>
    <t xml:space="preserve">    1908 Wastes from waste water treatment plants not otherwise specified</t>
  </si>
  <si>
    <t xml:space="preserve">    1909 Wastes from the preparation of drinking water or water for industrial use</t>
  </si>
  <si>
    <t xml:space="preserve">    1910 Wastes from shredding of metal-containing waste</t>
  </si>
  <si>
    <t xml:space="preserve">    2001 Separately collected fractions</t>
  </si>
  <si>
    <t xml:space="preserve">    2002 Garden and park wastes (including cemetery waste)</t>
  </si>
  <si>
    <t xml:space="preserve">    2003 Other municipal wastes</t>
  </si>
  <si>
    <t xml:space="preserve">        200136 Non-Hazardous Waste - Discarded equipment other than fluorescent tubes and other mercury-containing waste and discarded equipment containing chlorofluorocarbons</t>
  </si>
  <si>
    <t>Total Energy Consumption</t>
  </si>
  <si>
    <t>Water</t>
  </si>
  <si>
    <t>Air</t>
  </si>
  <si>
    <t>Soil</t>
  </si>
  <si>
    <t>[+]</t>
  </si>
  <si>
    <t>50% or more of their revenues from the exploration, extraction, manufacturing or distribution of gaseous fuels</t>
  </si>
  <si>
    <t>10% or more of their revenues from the exploration, extraction, distribution or refining of oil fuels</t>
  </si>
  <si>
    <t>1% or more of their revenues from exploration, mining, extraction, distribution or refining of hard coal and lignite</t>
  </si>
  <si>
    <t>Version:</t>
  </si>
  <si>
    <t>How to use it:</t>
  </si>
  <si>
    <t>Publication date:</t>
  </si>
  <si>
    <t>Basic Module</t>
  </si>
  <si>
    <t>Comprehensive Module</t>
  </si>
  <si>
    <t>Validation OK</t>
  </si>
  <si>
    <t>Cell background color index:</t>
  </si>
  <si>
    <t>B2</t>
  </si>
  <si>
    <t>Business conduct</t>
  </si>
  <si>
    <t>Sustainability ussues addressed</t>
  </si>
  <si>
    <t>Climate change</t>
  </si>
  <si>
    <t>Pollution</t>
  </si>
  <si>
    <t>Water and marine resources</t>
  </si>
  <si>
    <t>Biodiversity and ecosystems</t>
  </si>
  <si>
    <t>Circular economy</t>
  </si>
  <si>
    <t>Own workforce</t>
  </si>
  <si>
    <t>Affected communities</t>
  </si>
  <si>
    <t>Consumers and end-users</t>
  </si>
  <si>
    <t xml:space="preserve">        170703 Non-Hazardous Waste - Mixed construction and demolition waste other than mixed construction and demolition waste or separated fractions containing dangerous substances</t>
  </si>
  <si>
    <t xml:space="preserve">        180107 Non-Hazardous Waste - Chemicals other than chemicals consisting of or containing dangerous substances</t>
  </si>
  <si>
    <t xml:space="preserve">        180109 Non-Hazardous Waste - Medicines other than cytotoxic and cytostatic medicines</t>
  </si>
  <si>
    <t xml:space="preserve">        180206 Non-Hazardous Waste - Chemicals other than chemicals consisting of or containing dangerous substances</t>
  </si>
  <si>
    <t xml:space="preserve">        190112 Non-Hazardous Waste - Bottom ash and slag other than bottom ash and slag containing dangerous substances</t>
  </si>
  <si>
    <t xml:space="preserve">        190114 Non-Hazardous Waste - Fly ash other than fly ash containing dangerous substances</t>
  </si>
  <si>
    <t xml:space="preserve">        190116 Non-Hazardous Waste - Boiler dust other than boiler dust containing dangerous substances</t>
  </si>
  <si>
    <t xml:space="preserve">        190118 Non-Hazardous Waste - Pyrolysis waste other than pyrolysis waste containing dangerous substances</t>
  </si>
  <si>
    <t xml:space="preserve">        190305 Non-Hazardous Waste - Stabilised waste other wastes marked as hazardous, partly stabilised</t>
  </si>
  <si>
    <t xml:space="preserve">        190307 Non-Hazardous Waste - Solidified waste other than wastes marked as hazardous, solidified</t>
  </si>
  <si>
    <t xml:space="preserve">        200134 Non-Hazardous Waste - Batteries and accumulators other than mixed batteries and accumulators containing batteries or accumulators included in lead batteries, Ni-Cd batteries or mercury-containing batteries</t>
  </si>
  <si>
    <t xml:space="preserve">        030101 Hazardous Waste - Waste bark and cork</t>
  </si>
  <si>
    <t xml:space="preserve">        030102 Hazardous Waste - Sawdust</t>
  </si>
  <si>
    <t xml:space="preserve">        030103 Hazardous Waste - Shaving, cuttings, spoiled timber/particle board/veneer</t>
  </si>
  <si>
    <t xml:space="preserve">        030199 Hazardous Waste - Wastes not otherwise specified</t>
  </si>
  <si>
    <t xml:space="preserve">        040103 Hazardous Waste - Degreasing waste containing solvents without a liquid phase</t>
  </si>
  <si>
    <t xml:space="preserve">        040214 Hazardous Waste - Waste from finishing containing organic solvents</t>
  </si>
  <si>
    <t xml:space="preserve">        040216 Hazardous Waste - Dyestuffs and pigments containing dangerous substances</t>
  </si>
  <si>
    <t xml:space="preserve">        040219 Hazardous Waste - Sludges from on-site effluent treatment containing dangereous substances</t>
  </si>
  <si>
    <t xml:space="preserve">        050103 Hazardous Waste - Tank bottom sludges</t>
  </si>
  <si>
    <t xml:space="preserve">        050104 Hazardous Waste - Acid alkyl sludges</t>
  </si>
  <si>
    <t xml:space="preserve">        050105 Hazardous Waste - Oil spills</t>
  </si>
  <si>
    <t xml:space="preserve">        050107 Hazardous Waste - Acid tars</t>
  </si>
  <si>
    <t xml:space="preserve">        050108 Hazardous Waste - Other tars</t>
  </si>
  <si>
    <t xml:space="preserve">        050109 Hazardous Waste - Sludges from on-site effluent treatment containing dangerous substances</t>
  </si>
  <si>
    <t xml:space="preserve">        050401 Hazardous Waste - Spent filter clays</t>
  </si>
  <si>
    <t xml:space="preserve">        050601 Hazardous Waste - Acid tars</t>
  </si>
  <si>
    <t xml:space="preserve">        050603 Hazardous Waste - Other tars</t>
  </si>
  <si>
    <t xml:space="preserve">        050701 Hazardous Waste - Sludges containing mercury</t>
  </si>
  <si>
    <t xml:space="preserve">        050801 Hazardous Waste - Spent filter clays</t>
  </si>
  <si>
    <t xml:space="preserve">        050802 Hazardous Waste - Acid tars</t>
  </si>
  <si>
    <t xml:space="preserve">        050803 Hazardous Waste - Other tars</t>
  </si>
  <si>
    <t xml:space="preserve">        050804 Hazardous Waste - Aqueous liquid waste from oil regeneration</t>
  </si>
  <si>
    <t xml:space="preserve">        050899 Hazardous Waste - Wastes not otherwise specified</t>
  </si>
  <si>
    <t xml:space="preserve">        060101 Hazardous Waste - Sulphuric acid and sulphurous acid</t>
  </si>
  <si>
    <t xml:space="preserve">        060102 Hazardous Waste - Hydrochloric acid</t>
  </si>
  <si>
    <t xml:space="preserve">        060103 Hazardous Waste - Hydrofluoric acid</t>
  </si>
  <si>
    <t xml:space="preserve">        060104 Hazardous Waste - Phosphoric and phosphorous acid</t>
  </si>
  <si>
    <t xml:space="preserve">        060105 Hazardous Waste - Nitric acid and nitrous acid</t>
  </si>
  <si>
    <t xml:space="preserve">        060199 Hazardous Waste - Wastes not otherwise specified</t>
  </si>
  <si>
    <t xml:space="preserve">        060201 Hazardous Waste - Calcium hydroxide</t>
  </si>
  <si>
    <t xml:space="preserve">        060202 Hazardous Waste - Soda</t>
  </si>
  <si>
    <t xml:space="preserve">        060203 Hazardous Waste - Ammonia</t>
  </si>
  <si>
    <t xml:space="preserve">        060299 Hazardous Waste - Waste salts and their solutions</t>
  </si>
  <si>
    <t xml:space="preserve">        060311 Hazardous Waste - Salts and solutions containing cyanides</t>
  </si>
  <si>
    <t xml:space="preserve">        060402 Hazardous Waste - Metallic salts (except waste salts and their solutions)</t>
  </si>
  <si>
    <t xml:space="preserve">        060403 Hazardous Waste - Waste containing arsenic</t>
  </si>
  <si>
    <t xml:space="preserve">        060404 Hazardous Waste - Waste containing mercury</t>
  </si>
  <si>
    <t xml:space="preserve">        060405 Hazardous Waste - Waste containing other heavy metals</t>
  </si>
  <si>
    <t xml:space="preserve">        060502 Hazardous Waste - Sludges from on-site effluent treatment containing dangerous substances</t>
  </si>
  <si>
    <t xml:space="preserve">        060701 Hazardous Waste - Waste containing asbestos from electrolysis</t>
  </si>
  <si>
    <t xml:space="preserve">        060702 Hazardous Waste - Activated carbon from chlorine production</t>
  </si>
  <si>
    <t xml:space="preserve">        061301 Hazardous Waste - Inorganic pesticides, biocides and wood preserving agents</t>
  </si>
  <si>
    <t xml:space="preserve">        061302 Hazardous Waste - Spent activated carbon (except activated carbon from chlorine production)</t>
  </si>
  <si>
    <t xml:space="preserve">        061304 Hazardous Waste - Waste from asbestos processing</t>
  </si>
  <si>
    <t>Hectares or meters squared</t>
  </si>
  <si>
    <t>Link to previous report containing disclosures that remain unchanged</t>
  </si>
  <si>
    <t>Undertakings are excluded from the EU Paris-aligned Benchmarks if they  derive:</t>
  </si>
  <si>
    <t xml:space="preserve">child labour </t>
  </si>
  <si>
    <t xml:space="preserve">forced labour </t>
  </si>
  <si>
    <t>human trafficking</t>
  </si>
  <si>
    <t xml:space="preserve">discrimination </t>
  </si>
  <si>
    <t xml:space="preserve">accident prevention </t>
  </si>
  <si>
    <t>Number of employees covered by collective bargaining agreements</t>
  </si>
  <si>
    <t>Number of female employees at management level</t>
  </si>
  <si>
    <t xml:space="preserve">        070101 Hazardous Waste - Aqueous washing liquids and mother liquors</t>
  </si>
  <si>
    <t xml:space="preserve">        070103 Hazardous Waste - Organic halogenated solvents, washing liquids and mother liquors</t>
  </si>
  <si>
    <t xml:space="preserve">        070104 Hazardous Waste - Other organic solvents, washing liquids and mother liquors</t>
  </si>
  <si>
    <t xml:space="preserve">        070107 Hazardous Waste - Halogenated still bottoms and reaction residues</t>
  </si>
  <si>
    <t xml:space="preserve">        070108 Hazardous Waste - Other still bottoms and reaction residues</t>
  </si>
  <si>
    <t xml:space="preserve">        070109 Hazardous Waste - Halogenated filter cakes, spent absorbents</t>
  </si>
  <si>
    <t xml:space="preserve">        070110 Hazardous Waste - Other filter cakes, spent absorbents</t>
  </si>
  <si>
    <t xml:space="preserve">        070111 Hazardous Waste - Sludges from on-site effluent treatment containing dangerous substances</t>
  </si>
  <si>
    <t xml:space="preserve">        070201 Hazardous Waste - Aqueous washing liquids and mother liquors</t>
  </si>
  <si>
    <t xml:space="preserve">        070203 Hazardous Waste - Organic halogenated solvents, washing liquids and mother liquors</t>
  </si>
  <si>
    <t xml:space="preserve">        070204 Hazardous Waste - Other organic solvents, washing liquids and mother liquors</t>
  </si>
  <si>
    <t xml:space="preserve">        070207 Hazardous Waste - Halogenated still bottoms and reaction residues</t>
  </si>
  <si>
    <t xml:space="preserve">        070208 Hazardous Waste - Other still bottoms and reaction residues</t>
  </si>
  <si>
    <t xml:space="preserve">        070209 Hazardous Waste - Halogenated filter cakes, spent absorbents</t>
  </si>
  <si>
    <t xml:space="preserve">        070210 Hazardous Waste - Other filter cakes, spent absorbents</t>
  </si>
  <si>
    <t xml:space="preserve">        070211 Hazardous Waste - Sludges from on-site effluent treatment containing dangerous substances</t>
  </si>
  <si>
    <t xml:space="preserve">        070301 Hazardous Waste - Aqueous washing liquids and mother liquors</t>
  </si>
  <si>
    <t xml:space="preserve">        070303 Hazardous Waste - Organic halogenated solvents, washing liquids and mother liquors</t>
  </si>
  <si>
    <t xml:space="preserve">        070304 Hazardous Waste - Other organic solvents, washing liquids and mother liquors</t>
  </si>
  <si>
    <t xml:space="preserve">        070307 Hazardous Waste - Halogenated still bottoms and reaction residues</t>
  </si>
  <si>
    <t xml:space="preserve">        070308 Hazardous Waste - Other still bottoms and reaction residues</t>
  </si>
  <si>
    <t xml:space="preserve">        070309 Hazardous Waste - Halogenated filter cakes, spent absorbents</t>
  </si>
  <si>
    <t xml:space="preserve">        070310 Hazardous Waste - Other filter cakes, spent absorbents</t>
  </si>
  <si>
    <t xml:space="preserve">        070311 Hazardous Waste - Sludges from on-site effluent treatment containing dangerous substances</t>
  </si>
  <si>
    <t xml:space="preserve">        070401 Hazardous Waste - Aqueous washing liquids and mother liquors</t>
  </si>
  <si>
    <t xml:space="preserve">        070403 Hazardous Waste - Organic halogenated solvents, washing liquids and mother liquors</t>
  </si>
  <si>
    <t xml:space="preserve">        070404 Hazardous Waste - Other organic solvents, washing liquids and mother liquors</t>
  </si>
  <si>
    <t xml:space="preserve">        070407 Hazardous Waste - Halogenated still bottoms and reaction residues</t>
  </si>
  <si>
    <t xml:space="preserve">        070408 Hazardous Waste - Other still bottoms and reaction residues</t>
  </si>
  <si>
    <t xml:space="preserve">        070409 Hazardous Waste - Halogenated filter cakes, spent absorbents</t>
  </si>
  <si>
    <t xml:space="preserve">        070410 Hazardous Waste - Other filter cakes, spent absorbents</t>
  </si>
  <si>
    <t xml:space="preserve">        070411 Hazardous Waste - Sludges from on-site effluent treatment containing dangerous substances</t>
  </si>
  <si>
    <t xml:space="preserve">        070501 Hazardous Waste - Aqueous washing liquids and mother liquors</t>
  </si>
  <si>
    <t xml:space="preserve">        070503 Hazardous Waste - Organic halogenated solvents, washing liquids and mother liquors</t>
  </si>
  <si>
    <t xml:space="preserve">        070504 Hazardous Waste - Other organic solvents, washing liquids and mother liquors</t>
  </si>
  <si>
    <t xml:space="preserve">        070507 Hazardous Waste - Halogenated still bottoms and reaction residues</t>
  </si>
  <si>
    <t xml:space="preserve">        070508 Hazardous Waste - Other still bottoms and reaction residues</t>
  </si>
  <si>
    <t xml:space="preserve">        070509 Hazardous Waste - Halogenated filter cakes, spent absorbents</t>
  </si>
  <si>
    <t xml:space="preserve">        070510 Hazardous Waste - Other filter cakes, spent absorbents</t>
  </si>
  <si>
    <t xml:space="preserve">        070511 Hazardous Waste - Sludges from on-site effluent treatment containing dangerous substances</t>
  </si>
  <si>
    <t xml:space="preserve">        070601 Hazardous Waste - Aqueous washing liquids and mother liquors</t>
  </si>
  <si>
    <t xml:space="preserve">        070603 Hazardous Waste - Organic halogenated solvents, washing liquids and mother liquors</t>
  </si>
  <si>
    <t xml:space="preserve">        070604 Hazardous Waste - Other organic solvents, washing liquids and mother liquors</t>
  </si>
  <si>
    <t xml:space="preserve">        070607 Hazardous Waste - Halogenated still bottoms and reaction residues</t>
  </si>
  <si>
    <t xml:space="preserve">        070608 Hazardous Waste - Other still bottoms and reaction residues</t>
  </si>
  <si>
    <t xml:space="preserve">        070609 Hazardous Waste - Halogenated filter cakes, spent absorbents</t>
  </si>
  <si>
    <t xml:space="preserve">        070610 Hazardous Waste - Other filter cakes, spent absorbents</t>
  </si>
  <si>
    <t xml:space="preserve">        070611 Hazardous Waste - Sludges from on-site effluent treatment containing dangerous substances</t>
  </si>
  <si>
    <t xml:space="preserve">        070701 Hazardous Waste - Aqueous washing liquids and mother liquors</t>
  </si>
  <si>
    <t xml:space="preserve">        070703 Hazardous Waste - Organic halogenated solvents, washing liquids and mother liquors</t>
  </si>
  <si>
    <t xml:space="preserve">        070704 Hazardous Waste - Other organic solvents, washing liquids and mother liquors</t>
  </si>
  <si>
    <t xml:space="preserve">        070707 Hazardous Waste - Halogenated still bottoms and reaction residues</t>
  </si>
  <si>
    <t xml:space="preserve">        070708 Hazardous Waste - Other still bottoms and reaction residues</t>
  </si>
  <si>
    <t xml:space="preserve">        070709 Hazardous Waste - Halogenated filter cakes, spent absorbents</t>
  </si>
  <si>
    <t xml:space="preserve">        070710 Hazardous Waste - Other filter cakes, spent absorbents</t>
  </si>
  <si>
    <t xml:space="preserve">        070711 Hazardous Waste - Sludges from on-site effluent treatment containing dangerous substances</t>
  </si>
  <si>
    <t xml:space="preserve">        080111 Hazardous Waste - Waste paint and varnish containing organic solvents or other dangerous substances</t>
  </si>
  <si>
    <t xml:space="preserve">        080113 Hazardous Waste - Sludges from paint or varnish containing organic solvents or other dangerous substances</t>
  </si>
  <si>
    <t xml:space="preserve">        080115 Hazardous Waste - Aqueous sludges containing paint or varnish containing organic solvents or other dangerous substances</t>
  </si>
  <si>
    <t xml:space="preserve">        080117 Hazardous Waste - Other aqueous sludges containing paint or varnish</t>
  </si>
  <si>
    <t xml:space="preserve">        080119 Hazardous Waste - Aqueous suspensions containing paint or varnish containing organic solvents or other dangerous substances</t>
  </si>
  <si>
    <t xml:space="preserve">        080121 Hazardous Waste - Waste paint or varnish remover</t>
  </si>
  <si>
    <t xml:space="preserve">        080301 Hazardous Waste - Waste ink containing halogenated solvents</t>
  </si>
  <si>
    <t xml:space="preserve">        080302 Hazardous Waste - Waste ink containing non-halogenated solvents</t>
  </si>
  <si>
    <t xml:space="preserve">        080305 Hazardous Waste - Ink sludges containing halogenated solvents</t>
  </si>
  <si>
    <t xml:space="preserve">        080306 Hazardous Waste - Ink sludges containing non-halogenated solvents</t>
  </si>
  <si>
    <t xml:space="preserve">        080310 Hazardous Waste - Waste organic solvents used for cleaning</t>
  </si>
  <si>
    <t xml:space="preserve">        080311 Hazardous Waste - Waste etching solutions</t>
  </si>
  <si>
    <t xml:space="preserve">        080409 Hazardous Waste - Waste adhesives and sealants containing organic solvents or other dangerous substances</t>
  </si>
  <si>
    <t xml:space="preserve">        080411 Hazardous Waste - Adhesive and sealant sludges containing organic solvents or other dangerous substances</t>
  </si>
  <si>
    <t xml:space="preserve">        080413 Hazardous Waste - Aqueous sludges containing adhesives or sealants containing organic solvents or other dangerous substances</t>
  </si>
  <si>
    <t xml:space="preserve">        080415 Hazardous Waste - Aqueous liquid wastes containing adhesives or sealants with organic solvents or other dangerous substances</t>
  </si>
  <si>
    <t xml:space="preserve">        080501 Hazardous Waste - Waste isocyanates</t>
  </si>
  <si>
    <t xml:space="preserve">        090101 Hazardous Waste - Water-based developer and activator solutions</t>
  </si>
  <si>
    <t xml:space="preserve">        090102 Hazardous Waste - Water-based offset plate developer solutions</t>
  </si>
  <si>
    <t xml:space="preserve">        090103 Hazardous Waste - Solvent-based developer solutions</t>
  </si>
  <si>
    <t xml:space="preserve">        090104 Hazardous Waste - Fixer solutions</t>
  </si>
  <si>
    <t xml:space="preserve">        090105 Hazardous Waste - Bleach solutions and bleach fixer solutions</t>
  </si>
  <si>
    <t xml:space="preserve">        090106 Hazardous Waste - Waste containing silver from on-site treatment of photographic waste</t>
  </si>
  <si>
    <t xml:space="preserve">        090111 Hazardous Waste - Single-use cameras containing batteries included in end-of-life tyres, discarded vehicles or end-of-life vehicles, drained of liquids and emptied of other hazardous components</t>
  </si>
  <si>
    <t xml:space="preserve">        100104 Hazardous Waste - Oil fly ash</t>
  </si>
  <si>
    <t xml:space="preserve">        100109 Hazardous Waste - Sulphuric acid</t>
  </si>
  <si>
    <t xml:space="preserve">        100113 Hazardous Waste - Fly ash from emulsified hydrocarbons used as fuel</t>
  </si>
  <si>
    <t xml:space="preserve">        100207 Hazardous Waste - Solid waste from gas treatment of electrical arc furnaces containing dangerous substances</t>
  </si>
  <si>
    <t xml:space="preserve">        100211 Hazardous Waste - Waste from cooling water treatment containing oil</t>
  </si>
  <si>
    <t xml:space="preserve">        100213 Hazardous Waste - Sludges from gas treatment containing dangerous substances</t>
  </si>
  <si>
    <t xml:space="preserve">        100301 Hazardous Waste - Tars and other carbon-containing wastes from anode manufacture</t>
  </si>
  <si>
    <t xml:space="preserve">        100304 Hazardous Waste - Primary smelting slags/white drosses</t>
  </si>
  <si>
    <t xml:space="preserve">        100307 Hazardous Waste - Spent pot linings</t>
  </si>
  <si>
    <t xml:space="preserve">        100308 Hazardous Waste - Salt slags from secondary smelting</t>
  </si>
  <si>
    <t xml:space="preserve">        100309 Hazardous Waste - Black drosses from secondary smelting</t>
  </si>
  <si>
    <t xml:space="preserve">        100310 Hazardous Waste - Waste from treatment of salt slags and black drosses</t>
  </si>
  <si>
    <t xml:space="preserve">        100315 Hazardous Waste - Skimmings that are flammable or emit, upon contact with water, flammable gases in dangerous quantities</t>
  </si>
  <si>
    <t xml:space="preserve">        100401 Hazardous Waste - Slags (first and second smelting)</t>
  </si>
  <si>
    <t xml:space="preserve">        100402 Hazardous Waste - Dross and skimmings (first and second smelting)</t>
  </si>
  <si>
    <t xml:space="preserve">        100403 Hazardous Waste - Calcium arsenate</t>
  </si>
  <si>
    <t xml:space="preserve">        100404 Hazardous Waste - Flue gas dust</t>
  </si>
  <si>
    <t xml:space="preserve">        100405 Hazardous Waste - Other particulates and dust</t>
  </si>
  <si>
    <t xml:space="preserve">        100406 Hazardous Waste - Solid waste from gas treatment</t>
  </si>
  <si>
    <t xml:space="preserve">        100407 Hazardous Waste - Sludges from gas treatment</t>
  </si>
  <si>
    <t xml:space="preserve">        100501 Hazardous Waste - Slags (first and second smelting)</t>
  </si>
  <si>
    <t xml:space="preserve">        100503 Hazardous Waste - Flue gas dust</t>
  </si>
  <si>
    <t xml:space="preserve">        100505 Hazardous Waste - Solid waste from gas treatment</t>
  </si>
  <si>
    <t xml:space="preserve">        100506 Hazardous Waste - Sludges from gas treatment</t>
  </si>
  <si>
    <t xml:space="preserve">        100603 Hazardous Waste - Flue gas dust</t>
  </si>
  <si>
    <t xml:space="preserve">        100605 Hazardous Waste - Waste from electrolytic refining</t>
  </si>
  <si>
    <t xml:space="preserve">        100606 Hazardous Waste - Solid waste from gas treatment</t>
  </si>
  <si>
    <t xml:space="preserve">        100607 Hazardous Waste - Sludges from gas treatment</t>
  </si>
  <si>
    <t xml:space="preserve">        110101 Hazardous Waste - Cyanidic (alkaline) waste containing heavy metals other than chromium</t>
  </si>
  <si>
    <t xml:space="preserve">        110102 Hazardous Waste - Cyanidic (alkaline) waste not containing heavy metals</t>
  </si>
  <si>
    <t xml:space="preserve">        110103 Hazardous Waste - Cyanide-free wastes containing chromium</t>
  </si>
  <si>
    <t xml:space="preserve">        110105 Hazardous Waste - Acidic pickling solutions</t>
  </si>
  <si>
    <t xml:space="preserve">        110106 Hazardous Waste - Acids not otherwise specified</t>
  </si>
  <si>
    <t xml:space="preserve">        110107 Hazardous Waste - Alkalis not otherwise specified</t>
  </si>
  <si>
    <t xml:space="preserve">        110108 Hazardous Waste - Phosphatising sludges</t>
  </si>
  <si>
    <t xml:space="preserve">        110202 Hazardous Waste - Sludges from zinc hydrometallurgy (including jarosite, goethite)</t>
  </si>
  <si>
    <t xml:space="preserve">        110301 Hazardous Waste - Waste containing cyanide</t>
  </si>
  <si>
    <t xml:space="preserve">        110302 Hazardous Waste - Other wastes</t>
  </si>
  <si>
    <t xml:space="preserve">        120106 Hazardous Waste - Waste machining oils containing halogens (except emulsions)</t>
  </si>
  <si>
    <t xml:space="preserve">        120107 Hazardous Waste - Waste machining oils free of halogens (except emulsions)</t>
  </si>
  <si>
    <t xml:space="preserve">        120108 Hazardous Waste - Waste machining emulsions containing halogens</t>
  </si>
  <si>
    <t xml:space="preserve">        120109 Hazardous Waste - Waste machining emulsions free of halogens</t>
  </si>
  <si>
    <t xml:space="preserve">        120110 Hazardous Waste - Synthetic machining oils</t>
  </si>
  <si>
    <t xml:space="preserve">        120111 Hazardous Waste - Machining sludges</t>
  </si>
  <si>
    <t xml:space="preserve">        120112 Hazardous Waste - Spent waxes and fats</t>
  </si>
  <si>
    <t xml:space="preserve">        120301 Hazardous Waste - Aqueous washing liquids</t>
  </si>
  <si>
    <t xml:space="preserve">        120302 Hazardous Waste - Steam degreasing waste</t>
  </si>
  <si>
    <t xml:space="preserve">        130101 Hazardous Waste - Hydraulic oils, containing PCBs or PCTs</t>
  </si>
  <si>
    <t xml:space="preserve">        130102 Hazardous Waste - Other chlorinated hydraulic oils (except emulsions)</t>
  </si>
  <si>
    <t xml:space="preserve">        130103 Hazardous Waste - Non-chlorinated hydraulic oils (except emulsions)</t>
  </si>
  <si>
    <t xml:space="preserve">        130104 Hazardous Waste - Chlorinated emulsions</t>
  </si>
  <si>
    <t xml:space="preserve">        130105 Hazardous Waste - Non-chlorinated emulsions</t>
  </si>
  <si>
    <t xml:space="preserve">        130106 Hazardous Waste - Hydraulic oils containing only mineral oil</t>
  </si>
  <si>
    <t xml:space="preserve">        130107 Hazardous Waste - Other hydraulic oils</t>
  </si>
  <si>
    <t xml:space="preserve">        130108 Hazardous Waste - Brake fluids</t>
  </si>
  <si>
    <t xml:space="preserve">        130201 Hazardous Waste - Chlorinated engine, gear and lubricating oils</t>
  </si>
  <si>
    <t xml:space="preserve">        130202 Hazardous Waste - Non-chlorinated engine, gear and lubricating oils</t>
  </si>
  <si>
    <t xml:space="preserve">        130203 Hazardous Waste - Other engine, gear and lubricating oils</t>
  </si>
  <si>
    <t xml:space="preserve">        130301 Hazardous Waste - Insulating or heat transmission oils and other liquids containing PCBs or PCTs</t>
  </si>
  <si>
    <t xml:space="preserve">        130302 Hazardous Waste - Other chlorinated insulating and heat transmission oils and other liquids</t>
  </si>
  <si>
    <t xml:space="preserve">        130303 Hazardous Waste - Non-chlorinated insulating and heat transmission oils and other liquids</t>
  </si>
  <si>
    <t xml:space="preserve">        130304 Hazardous Waste - Synthetic insulating and heat transmission oils and other liquids</t>
  </si>
  <si>
    <t xml:space="preserve">        130305 Hazardous Waste - Mineral insulating and heat transmission oils</t>
  </si>
  <si>
    <t xml:space="preserve">        130401 Hazardous Waste - Bilge oils from inland navigation</t>
  </si>
  <si>
    <t xml:space="preserve">        130402 Hazardous Waste - Bilge oils from jetty sewers</t>
  </si>
  <si>
    <t xml:space="preserve">        130403 Hazardous Waste - Bilge oils from other navigation</t>
  </si>
  <si>
    <t xml:space="preserve">        130501 Hazardous Waste - Oil/water separator solids</t>
  </si>
  <si>
    <t xml:space="preserve">        130502 Hazardous Waste - Oil/water separator sludges</t>
  </si>
  <si>
    <t xml:space="preserve">        130503 Hazardous Waste - Interceptor sludges</t>
  </si>
  <si>
    <t xml:space="preserve">        130504 Hazardous Waste - Desalter sludges or emulsions</t>
  </si>
  <si>
    <t xml:space="preserve">        130505 Hazardous Waste - Other emulsions</t>
  </si>
  <si>
    <t xml:space="preserve">        130601 Hazardous Waste - Oil waste not otherwise specified</t>
  </si>
  <si>
    <t>14 WASTES FROM ORGANIC SUBSTANCES USED AS SOLVENTS (except WASTES FROM ORGANIC CHEMICAL PROCESSES and WASTES FROM THE MANUFACTURE, FORMULATION, SUPPLY AND USE (MFSU) OF COATINGS (PAINTS, VARNISHES AND VITREOUS ENAMELS), ADHESIVES, SEALANTS AND PRINTING INKS)</t>
  </si>
  <si>
    <t xml:space="preserve">        140101 Hazardous Waste - chlorofluorocarbons</t>
  </si>
  <si>
    <t xml:space="preserve">        140102 Hazardous Waste - other halogenated solvents and solvent mixes</t>
  </si>
  <si>
    <t xml:space="preserve">        140103 Hazardous Waste - Other solvents and solvent mixes</t>
  </si>
  <si>
    <t xml:space="preserve">        140104 Hazardous Waste - Aqueous solvent mixes containing halogens</t>
  </si>
  <si>
    <t xml:space="preserve">        140105 Hazardous Waste - Aqueous solvent mixes free of halogens</t>
  </si>
  <si>
    <t xml:space="preserve">        140106 Hazardous Waste - Sludges or solid wastes containing halogenated solvents</t>
  </si>
  <si>
    <t xml:space="preserve">        140107 Hazardous Waste - Sludges or solid wastes free of halogenated solvents</t>
  </si>
  <si>
    <t xml:space="preserve">        140201 Hazardous Waste - Halogenated solvents and solvent mixes</t>
  </si>
  <si>
    <t xml:space="preserve">        140202 Hazardous Waste - Solvent mixes or organic liquids free of halogenated solvents</t>
  </si>
  <si>
    <t xml:space="preserve">        140203 Hazardous Waste - Sludges or solid waste containing halogenated solvents</t>
  </si>
  <si>
    <t xml:space="preserve">        140204 Hazardous Waste - Sludges or solid waste containing other solvents</t>
  </si>
  <si>
    <t xml:space="preserve">        140301 Hazardous Waste - Chlorofluorocarbons</t>
  </si>
  <si>
    <t xml:space="preserve">        140302 Hazardous Waste - Other halogenated solvents</t>
  </si>
  <si>
    <t xml:space="preserve">        140303 Hazardous Waste - Solvents and solvent mixes free of halogenated solvents</t>
  </si>
  <si>
    <t xml:space="preserve">        140304 Hazardous Waste - Sludges or solid wastes containing halogenated solvents</t>
  </si>
  <si>
    <t xml:space="preserve">        140305 Hazardous Waste - Sludges or solid wastes containing other solvents</t>
  </si>
  <si>
    <t xml:space="preserve">        140401 Hazardous Waste - Chlorofluorocarbons</t>
  </si>
  <si>
    <t xml:space="preserve">        140402 Hazardous Waste - Other halogenated solvents and solvent mixes</t>
  </si>
  <si>
    <t xml:space="preserve">        140403 Hazardous Waste - Other solvents and solvent mixes</t>
  </si>
  <si>
    <t xml:space="preserve">        140404 Hazardous Waste - Sludges or solid waste containing halogenated solvents</t>
  </si>
  <si>
    <t xml:space="preserve">        140405 Hazardous Waste - Sludges or solid waste containing other solvents</t>
  </si>
  <si>
    <t xml:space="preserve">        150108 Hazardous Waste - Packaging containing residues of or contaminated by dangerous substances</t>
  </si>
  <si>
    <t xml:space="preserve">        150202 Hazardous Waste - Absorbents, filter materials, wiping cloths, protective clothing contaminated by dangerous substances</t>
  </si>
  <si>
    <t xml:space="preserve">        160209 Hazardous Waste - Transformers and capacitors containing PCBs or PCTs</t>
  </si>
  <si>
    <t xml:space="preserve">        160210 Hazardous Waste - Discarded equipment containing or contaminated by PCBs or PCTs other than transformers and capacitors containing PCBs or PCTs</t>
  </si>
  <si>
    <t xml:space="preserve">        160211 Hazardous Waste - Discarded equipment containing chlorofluorocarbons</t>
  </si>
  <si>
    <t xml:space="preserve">        160212 Hazardous Waste - Discarded equipment containing free asbestos</t>
  </si>
  <si>
    <t xml:space="preserve">        160213 Hazardous Waste - Other discarded equipments containing hazardous components</t>
  </si>
  <si>
    <t xml:space="preserve">        160215 Hazardous Waste - Hazardous components removed from discarded equipment</t>
  </si>
  <si>
    <t xml:space="preserve">        160401 Hazardous Waste - Waste ammunition</t>
  </si>
  <si>
    <t xml:space="preserve">        160402 Hazardous Waste - Fireworks waste</t>
  </si>
  <si>
    <t xml:space="preserve">        160403 Hazardous Waste - Other waste explosives</t>
  </si>
  <si>
    <t xml:space="preserve">        160601 Hazardous Waste - Lead batteries</t>
  </si>
  <si>
    <t xml:space="preserve">        160602 Hazardous Waste - Ni-Cd batteries</t>
  </si>
  <si>
    <t xml:space="preserve">        160603 Hazardous Waste - Mercury-containing batteries</t>
  </si>
  <si>
    <t xml:space="preserve">        160606 Hazardous Waste - Electrolyte from batteries and accumulators</t>
  </si>
  <si>
    <t xml:space="preserve">        160701 Hazardous Waste - Waste from marine transport tank cleaning, containing chemicals</t>
  </si>
  <si>
    <t xml:space="preserve">        160702 Hazardous Waste - Waste from marine transport tank cleaning, containing oil</t>
  </si>
  <si>
    <t xml:space="preserve">        160703 Hazardous Waste - Waste from railway and road transport tank cleaning, containing oil</t>
  </si>
  <si>
    <t xml:space="preserve">        160704 Hazardous Waste - Waste from railway and road transport tank cleaning, containing chemicals</t>
  </si>
  <si>
    <t xml:space="preserve">        160705 Hazardous Waste - Waste from storage tank cleaning, containing chemicals</t>
  </si>
  <si>
    <t xml:space="preserve">        160706 Hazardous Waste - Waste from storage tank cleaning, containing oil</t>
  </si>
  <si>
    <t xml:space="preserve">        160802 Hazardous Waste - Spent catalysts containing dangerous transition metals or transition metal compounds</t>
  </si>
  <si>
    <t xml:space="preserve">        160805 Hazardous Waste - Spent catalysts containing phosphoric acid</t>
  </si>
  <si>
    <t xml:space="preserve">        160806 Hazardous Waste - Spent liquids used as catalysts</t>
  </si>
  <si>
    <t xml:space="preserve">        160807 Hazardous Waste - Spent catalysts contaminated with dangerous substances</t>
  </si>
  <si>
    <t xml:space="preserve">        170503 Hazardous Waste - Soil and stones containing dangerous substances</t>
  </si>
  <si>
    <t xml:space="preserve">        170505 Hazardous Waste - Dredging spoil containing dangerous substances</t>
  </si>
  <si>
    <t xml:space="preserve">        170601 Hazardous Waste - Insulation materials containing asbestos</t>
  </si>
  <si>
    <t xml:space="preserve">        170702 Hazardous Waste - Mixed construction and demolition waste or separated fractions containing dangerous substances</t>
  </si>
  <si>
    <t xml:space="preserve">        180103 Hazardous Waste - Waste whose collection and disposal is subject to special requirements in view of the prevention of infection</t>
  </si>
  <si>
    <t xml:space="preserve">        180106 Hazardous Waste - Chemicals consisting of or containing dangerous substances</t>
  </si>
  <si>
    <t xml:space="preserve">        180108 Hazardous Waste - Cytotoxic and cytostatic medicines</t>
  </si>
  <si>
    <t xml:space="preserve">        180110 Hazardous Waste - Amalgam waste from dental care</t>
  </si>
  <si>
    <t xml:space="preserve">        180202 Hazardous Waste - Waste whose collection and disposal is subject to special requirements in view of the prevention of infection</t>
  </si>
  <si>
    <t xml:space="preserve">        180205 Hazardous Waste - Chemicals consisting of or containing dangerous substances</t>
  </si>
  <si>
    <t xml:space="preserve">        180207 Hazardous Waste - Cytotoxic and cytostatic medicines</t>
  </si>
  <si>
    <t xml:space="preserve">        190105 Hazardous Waste - Filter cake from gas treatment</t>
  </si>
  <si>
    <t xml:space="preserve">        190106 Hazardous Waste - Aqueous liquid waste from gas treatment and other aqueous liquid waste</t>
  </si>
  <si>
    <t xml:space="preserve">        190107 Hazardous Waste - Solid waste from gas treatment</t>
  </si>
  <si>
    <t xml:space="preserve">        190110 Hazardous Waste - Spent activated carbon from flue gas treatment</t>
  </si>
  <si>
    <t xml:space="preserve">        190111 Hazardous Waste - Bottom ash and slag containing dangerous substances</t>
  </si>
  <si>
    <t xml:space="preserve">        190113 Hazardous Waste - Fly ash containing dangerous substances</t>
  </si>
  <si>
    <t xml:space="preserve">        190115 Hazardous Waste - Boiler dust containing dangerous substances</t>
  </si>
  <si>
    <t xml:space="preserve">        190117 Hazardous Waste - Pyrolysis waste containing dangerous substances</t>
  </si>
  <si>
    <t xml:space="preserve">        190201 Hazardous Waste - Metal hydroxide sludges and other sludges from metal insolubilisation treatment</t>
  </si>
  <si>
    <t xml:space="preserve">        190204 Hazardous Waste - Premixed waste composed of at least one waste marked as hazardous</t>
  </si>
  <si>
    <t xml:space="preserve">        190304 Hazardous Waste - Waste marked as hazardous, partly stabilised</t>
  </si>
  <si>
    <t xml:space="preserve">        190306 Hazardous Waste - Waste marked as hazardous, solidified</t>
  </si>
  <si>
    <t xml:space="preserve">        190402 Hazardous Waste - Fly ash and other flue gas treatment waste</t>
  </si>
  <si>
    <t xml:space="preserve">        190403 Hazardous Waste - Non-vitrified solid phase</t>
  </si>
  <si>
    <t xml:space="preserve">        190803 Hazardous Waste - Grease and oil mixture from oil/waste water separation</t>
  </si>
  <si>
    <t xml:space="preserve">        190806 Hazardous Waste - Saturated or spent ion exchange resins</t>
  </si>
  <si>
    <t xml:space="preserve">        190807 Hazardous Waste - Solutions and sludges from regeneration of ion exchangers</t>
  </si>
  <si>
    <t xml:space="preserve">        191003 Hazardous Waste - Fluff — light fraction containing dangerous substances</t>
  </si>
  <si>
    <t xml:space="preserve">        191005 Hazardous Waste - Dust and other fractions containing dangerous substances</t>
  </si>
  <si>
    <t xml:space="preserve">        200113 Hazardous Waste - Solvents</t>
  </si>
  <si>
    <t xml:space="preserve">        200114 Hazardous Waste - Acids</t>
  </si>
  <si>
    <t xml:space="preserve">        200115 Hazardous Waste - Alkalines</t>
  </si>
  <si>
    <t xml:space="preserve">        200117 Hazardous Waste - Photochemicals</t>
  </si>
  <si>
    <t xml:space="preserve">        200119 Hazardous Waste - Pesticides</t>
  </si>
  <si>
    <t xml:space="preserve">        200121 Hazardous Waste - Fluorescent tubes and other mercury-containing waste</t>
  </si>
  <si>
    <t xml:space="preserve">        200123 Hazardous Waste - Discarded equipment containing chlorofluorocarbons</t>
  </si>
  <si>
    <t xml:space="preserve">        200126 Hazardous Waste - Other oils and fats</t>
  </si>
  <si>
    <t xml:space="preserve">        200127 Hazardous Waste - Paint, inks, adhesives and resins containing dangerous substances</t>
  </si>
  <si>
    <t xml:space="preserve">        200129 Hazardous Waste - Detergents containing dangerous substances</t>
  </si>
  <si>
    <t xml:space="preserve">        200131 Hazardous Waste - Cytotoxic and cytostatic medicines</t>
  </si>
  <si>
    <t xml:space="preserve">        200133 Hazardous Waste - Mixed batteries and accumulators containing batteries or accumulators included in lead batteries, Ni-Cd batteries or mercury-containing batteries</t>
  </si>
  <si>
    <t xml:space="preserve">        200135 Hazardous Waste - Discarded equipment other than fluorescent tubes and other mercury-containing waste and discarded equipment containing chlorofluorocarbons containing hazardous components</t>
  </si>
  <si>
    <t xml:space="preserve">        010101 Non-Hazardous Waste - Waste from mineral metalliferous excavation</t>
  </si>
  <si>
    <t>YES or NO</t>
  </si>
  <si>
    <t>YES</t>
  </si>
  <si>
    <t>NO</t>
  </si>
  <si>
    <t>Future Initiative</t>
  </si>
  <si>
    <t>Indicates that the disclosure is from the VSME Comprehensive Module.</t>
  </si>
  <si>
    <t>Indicates that the disclosure is from the VSME Basic Module.</t>
  </si>
  <si>
    <t>General Principles</t>
  </si>
  <si>
    <t>Indicates that the disclosure is from the general principles of the VSME.</t>
  </si>
  <si>
    <t>Is the undertaking aware of any confirmed incidents involving workers in the value chain, affected communities, consumers and end-users?</t>
  </si>
  <si>
    <t>Indicates that data entry is OK and the undertaking can proceed to the next disclosure.</t>
  </si>
  <si>
    <t>Year (date)</t>
  </si>
  <si>
    <t>Site located in a biodiversity sensitive area</t>
  </si>
  <si>
    <t>Site located near a biodiversity sensitive area</t>
  </si>
  <si>
    <t>Total employees (linked from B1)</t>
  </si>
  <si>
    <t>Female-to-male ratio at management level for the reporting period</t>
  </si>
  <si>
    <t xml:space="preserve">Currency of the monetary values in the report </t>
  </si>
  <si>
    <t>Description of how it applies these principles</t>
  </si>
  <si>
    <r>
      <t>Total annual mass-flow of relevant materials used (volume in m</t>
    </r>
    <r>
      <rPr>
        <sz val="11"/>
        <color theme="1"/>
        <rFont val="Aptos Narrow"/>
        <family val="2"/>
      </rPr>
      <t>³</t>
    </r>
    <r>
      <rPr>
        <sz val="11"/>
        <color theme="1"/>
        <rFont val="Aptos Narrow"/>
        <family val="2"/>
        <scheme val="minor"/>
      </rPr>
      <t>)</t>
    </r>
  </si>
  <si>
    <t>Average number of annual training hours per employee</t>
  </si>
  <si>
    <t>GPS Coordinates (geolocation)</t>
  </si>
  <si>
    <t>Information on previous reporting period</t>
  </si>
  <si>
    <t>Reproduction and use rights are strictly limited. For further details please contact efragsecretariat@efrag.org</t>
  </si>
  <si>
    <t>EFRAG is funded by the European Union through the Single Market Programme in which the EEA-EFTA countries (Norway, Iceland and Liechtenstein), as well as Kosovo participate. Any views and opinions expressed are however those of the author(s) only and do not necessarily reflect those of the European Union, the European Commission or of countries that participate in the Single Market Programme. Neither the European Union, the European Commission nor countries participating in the Single market Programme can be held responsible for them. © 2025 EFRAG All rights reserved.</t>
  </si>
  <si>
    <t>None of the above</t>
  </si>
  <si>
    <t>FUEL CONVERTER</t>
  </si>
  <si>
    <t xml:space="preserve">What is your fuel? </t>
  </si>
  <si>
    <t>Energy [MWh]</t>
  </si>
  <si>
    <t>UNIT OF MEASUREMENT CONVERTER</t>
  </si>
  <si>
    <t>Unit of measurement of Mass Converter</t>
  </si>
  <si>
    <t>From</t>
  </si>
  <si>
    <t>to</t>
  </si>
  <si>
    <t>Unit of measurement of Volume Converter</t>
  </si>
  <si>
    <t>Unit of measurement of Energy Consumption per Hour</t>
  </si>
  <si>
    <t>Unit of measurement of Density Converter</t>
  </si>
  <si>
    <t>Unit of measurement of NCV Converter</t>
  </si>
  <si>
    <t>Fuels</t>
  </si>
  <si>
    <t>Mass</t>
  </si>
  <si>
    <t>Volume</t>
  </si>
  <si>
    <t>Energy</t>
  </si>
  <si>
    <t>From → To</t>
  </si>
  <si>
    <t>g/L</t>
  </si>
  <si>
    <t>Kg/L</t>
  </si>
  <si>
    <t>t/L</t>
  </si>
  <si>
    <t>Gg/L</t>
  </si>
  <si>
    <t>g/m³</t>
  </si>
  <si>
    <t>Kg/m³</t>
  </si>
  <si>
    <t>t/m³</t>
  </si>
  <si>
    <t>Gg/m³</t>
  </si>
  <si>
    <t>J/g</t>
  </si>
  <si>
    <t>J/Kg</t>
  </si>
  <si>
    <t>J/t</t>
  </si>
  <si>
    <t>J/Gg</t>
  </si>
  <si>
    <t>TJ/g</t>
  </si>
  <si>
    <t>TJ/Kg</t>
  </si>
  <si>
    <t>TJ/t</t>
  </si>
  <si>
    <t>TJ/Gg</t>
  </si>
  <si>
    <t>MWh/g</t>
  </si>
  <si>
    <t>MWh/Kg</t>
  </si>
  <si>
    <t>MWh/t</t>
  </si>
  <si>
    <t>MWh/Gg</t>
  </si>
  <si>
    <t>Anthracite</t>
  </si>
  <si>
    <t>Solid</t>
  </si>
  <si>
    <t>Gg - Gigagram</t>
  </si>
  <si>
    <r>
      <t>m</t>
    </r>
    <r>
      <rPr>
        <sz val="11"/>
        <color theme="1"/>
        <rFont val="Aptos Narrow"/>
        <family val="2"/>
      </rPr>
      <t>³ - cubic meters</t>
    </r>
  </si>
  <si>
    <t>TJ - Terajoule</t>
  </si>
  <si>
    <t>Aviation gasoline</t>
  </si>
  <si>
    <t>Liquid</t>
  </si>
  <si>
    <t>t - tonne</t>
  </si>
  <si>
    <t>L - Liter</t>
  </si>
  <si>
    <t>MWh - Megawatt hours</t>
  </si>
  <si>
    <t>Biodiesel</t>
  </si>
  <si>
    <t>Kg - Kilogram</t>
  </si>
  <si>
    <t>Biogasoline</t>
  </si>
  <si>
    <t>g - gram</t>
  </si>
  <si>
    <t>Bitumen</t>
  </si>
  <si>
    <t>Blast furnace gas</t>
  </si>
  <si>
    <t>Brown coal briquettes</t>
  </si>
  <si>
    <t>Coke oven coke &amp; lignite coke</t>
  </si>
  <si>
    <t>Coke oven gas</t>
  </si>
  <si>
    <t>Coking coal</t>
  </si>
  <si>
    <t>Ethane</t>
  </si>
  <si>
    <t>Gas coke</t>
  </si>
  <si>
    <t>Gas/Diesel oil</t>
  </si>
  <si>
    <t>Jet gasoline</t>
  </si>
  <si>
    <t>Jet kerosene</t>
  </si>
  <si>
    <t>Landfill gas</t>
  </si>
  <si>
    <t>Lignite</t>
  </si>
  <si>
    <t>Liquefied Petroleum Gases (LPG)</t>
  </si>
  <si>
    <t>Lubricants</t>
  </si>
  <si>
    <t>Methane</t>
  </si>
  <si>
    <t>Motor gasoline/Petrol</t>
  </si>
  <si>
    <t>Municipal wastes (biomass fraction)</t>
  </si>
  <si>
    <t>Municipal wastes (non-biomass fraction)</t>
  </si>
  <si>
    <t>Naphtha</t>
  </si>
  <si>
    <t>Natural gas</t>
  </si>
  <si>
    <t>Oil shale and tar sands</t>
  </si>
  <si>
    <t>Orimulsion</t>
  </si>
  <si>
    <t>Oxygen steel furnace gas</t>
  </si>
  <si>
    <t>Paraffin waxes</t>
  </si>
  <si>
    <t>Patent fuel</t>
  </si>
  <si>
    <t>Peat</t>
  </si>
  <si>
    <t>Petroleum coke</t>
  </si>
  <si>
    <t>Propane</t>
  </si>
  <si>
    <t>Refinery feedstocks</t>
  </si>
  <si>
    <t>Refinery Gas</t>
  </si>
  <si>
    <t>Residual fuel oil</t>
  </si>
  <si>
    <t>Shale oil (liquid)</t>
  </si>
  <si>
    <t>Sludge gas</t>
  </si>
  <si>
    <t>Sub-bituminous coal</t>
  </si>
  <si>
    <t>Turpentine</t>
  </si>
  <si>
    <t>Vegetable oils</t>
  </si>
  <si>
    <t>Waste oils</t>
  </si>
  <si>
    <t>Waste water treatment biogas</t>
  </si>
  <si>
    <t>White Spirit &amp; SBP</t>
  </si>
  <si>
    <t>Wood/Wood waste</t>
  </si>
  <si>
    <t>Indicates that either data entry is incorrect in terms of format or that certain information is missing in order to correctly report on the disclosure.</t>
  </si>
  <si>
    <t>Lists can be expanded using the plus [+] button on the left. If the number of rows is not sufficient, additional rows can be added by right clicking the second row and selecting "Insert row".</t>
  </si>
  <si>
    <t>Description of significant market(s) the undertaking operates in (e.g. B2B, wholesale, retail, countries)</t>
  </si>
  <si>
    <t>Description of main business relationships (e.g. key suppliers, customers distribution channels and consumers)</t>
  </si>
  <si>
    <t>If yes, are incidents related to:</t>
  </si>
  <si>
    <t>Does the undertaking have confirmed incidents in its own workforce?</t>
  </si>
  <si>
    <t>Registered Address</t>
  </si>
  <si>
    <t xml:space="preserve">Does the undertaking have a complaint-handling mechanism for its own workforce? </t>
  </si>
  <si>
    <t xml:space="preserve">Undertakings are excluded from any EU reference benchmarks that are aligned with the Paris Agreement </t>
  </si>
  <si>
    <t>State of matter</t>
  </si>
  <si>
    <t>KJ/g</t>
  </si>
  <si>
    <t>KJ/Kg</t>
  </si>
  <si>
    <t>KJ/t</t>
  </si>
  <si>
    <t>KJ/Gg</t>
  </si>
  <si>
    <t>Amount</t>
  </si>
  <si>
    <t>Year</t>
  </si>
  <si>
    <t>Month</t>
  </si>
  <si>
    <t>January</t>
  </si>
  <si>
    <t>February</t>
  </si>
  <si>
    <t>March</t>
  </si>
  <si>
    <t>April</t>
  </si>
  <si>
    <t>May</t>
  </si>
  <si>
    <t>June</t>
  </si>
  <si>
    <t>July</t>
  </si>
  <si>
    <t>August</t>
  </si>
  <si>
    <t>September</t>
  </si>
  <si>
    <t>October</t>
  </si>
  <si>
    <t>November</t>
  </si>
  <si>
    <t>December</t>
  </si>
  <si>
    <t>Indicates that the cell is automatically calculated and that no data entry is required. Please note that the formulas in these cells cannot be edited.</t>
  </si>
  <si>
    <t>Revenue derived from chemicals production</t>
  </si>
  <si>
    <t>Revenue derived from gas</t>
  </si>
  <si>
    <t>Revenue derived from oil</t>
  </si>
  <si>
    <t>Revenue derived from coal</t>
  </si>
  <si>
    <t>Revenue derived from cultivation and production of tobacco</t>
  </si>
  <si>
    <t>Revenue derived from controversial weapons (anti-personnel mines, cluster munitions, chemical weapons and biological weapons)</t>
  </si>
  <si>
    <t>A transition plan has already been adopted</t>
  </si>
  <si>
    <t>Implementation status</t>
  </si>
  <si>
    <t>Basis for preparation (Basic Module Only or Basic &amp; Comprehensive Module)</t>
  </si>
  <si>
    <t>List of omitted disclosures (with None)</t>
  </si>
  <si>
    <t xml:space="preserve">List of omitted disclosures </t>
  </si>
  <si>
    <t>Other undertaking's legal form specification</t>
  </si>
  <si>
    <t>Renewable</t>
  </si>
  <si>
    <t>Non-renewable</t>
  </si>
  <si>
    <t>Total renewable and non-renewable</t>
  </si>
  <si>
    <t>Employees receive pay that is equal or above applicable minimum wage determined directly by the national minimum wage law or through a collective bargaining agreement</t>
  </si>
  <si>
    <t>Total self-employed workers without personnel that are working exclusively for the undertaking</t>
  </si>
  <si>
    <t>Starting year</t>
  </si>
  <si>
    <t>Starting month</t>
  </si>
  <si>
    <t>Starting day</t>
  </si>
  <si>
    <r>
      <t>Reporting period start date (</t>
    </r>
    <r>
      <rPr>
        <b/>
        <sz val="11"/>
        <color theme="1"/>
        <rFont val="Aptos Narrow"/>
        <family val="2"/>
        <scheme val="minor"/>
      </rPr>
      <t>dd/mm/yyyy</t>
    </r>
    <r>
      <rPr>
        <sz val="11"/>
        <color theme="1"/>
        <rFont val="Aptos Narrow"/>
        <family val="2"/>
        <scheme val="minor"/>
      </rPr>
      <t>)</t>
    </r>
  </si>
  <si>
    <t>Ending year</t>
  </si>
  <si>
    <t>Ending month</t>
  </si>
  <si>
    <t>Ending day</t>
  </si>
  <si>
    <r>
      <t>Reporting period end date  (</t>
    </r>
    <r>
      <rPr>
        <b/>
        <sz val="11"/>
        <color theme="1"/>
        <rFont val="Aptos Narrow"/>
        <family val="2"/>
        <scheme val="minor"/>
      </rPr>
      <t>dd/mm/yyyy</t>
    </r>
    <r>
      <rPr>
        <sz val="11"/>
        <color theme="1"/>
        <rFont val="Aptos Narrow"/>
        <family val="2"/>
        <scheme val="minor"/>
      </rPr>
      <t>)</t>
    </r>
  </si>
  <si>
    <t>Reporting period string:</t>
  </si>
  <si>
    <t xml:space="preserve">Ending date string: </t>
  </si>
  <si>
    <t>No value can be entered in the cell.</t>
  </si>
  <si>
    <t>Month number</t>
  </si>
  <si>
    <t>Area (hectares or m² based on the selection above)</t>
  </si>
  <si>
    <t>Indicates that no data entry is required unless certain logics are selected in the disclosure itself. When one of these logics is selected, then this cell will turn white.</t>
  </si>
  <si>
    <t>Please select the unit used for the area (i.e. either hectares or m²):</t>
  </si>
  <si>
    <t>Particulate matter (PM)</t>
  </si>
  <si>
    <t xml:space="preserve">Emission to air </t>
  </si>
  <si>
    <t>Please select the unit used for reporting the amount (i.e. either kg or tonne)</t>
  </si>
  <si>
    <t xml:space="preserve">Emission to water </t>
  </si>
  <si>
    <t xml:space="preserve">Emission to soil </t>
  </si>
  <si>
    <t>Unit of measurement (mass only)</t>
  </si>
  <si>
    <t>Waste directed to disposal</t>
  </si>
  <si>
    <t xml:space="preserve">Total waste recycled, reused and directed to disposal </t>
  </si>
  <si>
    <t xml:space="preserve">Please provide the relevant URL link or hyperlink of where this information is reported </t>
  </si>
  <si>
    <t>Is this disclosure already publicly available?</t>
  </si>
  <si>
    <t>Typical NCV [TJ/Gg]</t>
  </si>
  <si>
    <r>
      <t>Typical Density [kg/L</t>
    </r>
    <r>
      <rPr>
        <b/>
        <sz val="11"/>
        <color theme="1"/>
        <rFont val="Aptos Narrow"/>
        <family val="2"/>
      </rPr>
      <t>]</t>
    </r>
  </si>
  <si>
    <r>
      <t>Typical Density [kg/m</t>
    </r>
    <r>
      <rPr>
        <b/>
        <sz val="11"/>
        <color theme="1"/>
        <rFont val="Aptos Narrow"/>
        <family val="2"/>
      </rPr>
      <t>³]</t>
    </r>
  </si>
  <si>
    <t>Other 1</t>
  </si>
  <si>
    <t>Other 2</t>
  </si>
  <si>
    <t>Other 3</t>
  </si>
  <si>
    <t>Other 4</t>
  </si>
  <si>
    <t>Other 5</t>
  </si>
  <si>
    <t>Other 6</t>
  </si>
  <si>
    <t>Other 7</t>
  </si>
  <si>
    <t>Other 8</t>
  </si>
  <si>
    <t>Other 9</t>
  </si>
  <si>
    <t>Other 10</t>
  </si>
  <si>
    <t>Has the undertaking obtained the necessary information to provide an energy consumption breakdown?</t>
  </si>
  <si>
    <t>Has the strategy key elements that relate to or affect sustainability issues?</t>
  </si>
  <si>
    <t>Has  the undertaking has established GHG emission reduction targets ?</t>
  </si>
  <si>
    <t xml:space="preserve">Is the undertaking operating in high impact sectors? </t>
  </si>
  <si>
    <t>Is the undertaking already required by law or other national regulations to report to competent authorities its emissions of pollutants, or does it already voluntarily report on them according to an Environmental Management System?</t>
  </si>
  <si>
    <t>Does the undertaking have sites that are located in or near biodiversity sensitive areas?</t>
  </si>
  <si>
    <t>Does the undertaking the undertaking operate in a sector using significant material flows (for example 
manufacturing, construction, packaging or others)?</t>
  </si>
  <si>
    <t>Has the undertaking identified climate-related hazards and climate-related transition events, creating gross climate-related risks for the undertaking?</t>
  </si>
  <si>
    <t xml:space="preserve">Number of male employees at management level </t>
  </si>
  <si>
    <t>Has the undertaking incurred in convictions and fines in the reporting period?</t>
  </si>
  <si>
    <t>Is the undertaking deriving revenues from one of the activities listed below?</t>
  </si>
  <si>
    <t>Does the undertaking have a governance body in place?</t>
  </si>
  <si>
    <t>Has the undertaking obtained any sustainability-related certification(s) or label(s) ?</t>
  </si>
  <si>
    <t>Basis for reporting (consolidated or individual basis)</t>
  </si>
  <si>
    <r>
      <t xml:space="preserve">Potential adverse effects of climate risks that may affect its financial performance or business operations in the short-, medium- or long-term, indicating whether it assesses the risks to be high, medium or low </t>
    </r>
    <r>
      <rPr>
        <b/>
        <sz val="11"/>
        <color theme="1"/>
        <rFont val="Aptos Narrow"/>
        <family val="2"/>
        <scheme val="minor"/>
      </rPr>
      <t>- May (optional)</t>
    </r>
  </si>
  <si>
    <r>
      <t xml:space="preserve">Description of a transition plan for climate change mitigation, including an explanation of how it is contributing to reduce GHG emissions </t>
    </r>
    <r>
      <rPr>
        <b/>
        <sz val="11"/>
        <color theme="1"/>
        <rFont val="Aptos Narrow"/>
        <family val="2"/>
        <scheme val="minor"/>
      </rPr>
      <t>- May (optional)</t>
    </r>
  </si>
  <si>
    <t>Information on the report necessary for  XBRL  [Always to be reported]</t>
  </si>
  <si>
    <t>Percentage of employees covered by collective bargaining agreements [%]</t>
  </si>
  <si>
    <t xml:space="preserve">5. Convert this template to an Inline XBRL report (or XBRL-JSON, XBRL-CSV), using this online converter. Pay attention to the XBRL validation performed by the validator. </t>
  </si>
  <si>
    <t>6. The undertaking may also upload the report to public repositories or a webpage.</t>
  </si>
  <si>
    <t>Waste categories (for validation only)</t>
  </si>
  <si>
    <t>Employee counting methodology (At the end of reporting period or as an average during the reporting period)</t>
  </si>
  <si>
    <t>Employee counting methodology (Headcount or Full-time equivalent)</t>
  </si>
  <si>
    <t>Employee methodologies</t>
  </si>
  <si>
    <t>At the end of the reporting period</t>
  </si>
  <si>
    <t>As an average across the reporting period</t>
  </si>
  <si>
    <t>Employee counting methodology for the disclosures below (Headcount or Full time Equivalent, linked from B1)</t>
  </si>
  <si>
    <t>Employee counting methodology for the disclosures below (At the end of the reporting period or as an averageacross the reporting period, linked from B1)</t>
  </si>
  <si>
    <t xml:space="preserve">Pollutant </t>
  </si>
  <si>
    <t>other? ( if yes, specify)</t>
  </si>
  <si>
    <t>Specify other types of content covered by the code of conduct or human rights policy</t>
  </si>
  <si>
    <t>Number of employees who left during the reporting period</t>
  </si>
  <si>
    <t>Number of employees at the beginning of the reporting period</t>
  </si>
  <si>
    <t>Number of employees at the end of the reporting period</t>
  </si>
  <si>
    <t>Number of recordable work-related accidents in the reporting period</t>
  </si>
  <si>
    <t>Number of hours worked by  one full-time employee in the reporting period</t>
  </si>
  <si>
    <t>Total number of hours worked in a year by all employees in the reporting period</t>
  </si>
  <si>
    <t>Specification of any confirmed incident involving workers in the value chain, affected communities, consumers and end-users</t>
  </si>
  <si>
    <t>Total number of convictions  for the violation of anti-corruption and anti-bribery laws</t>
  </si>
  <si>
    <t>Total revenues derived from fossil fuel (coal, oil and gas) sector (i.e. the undertaking derives revenues from exploration, mining, extraction, production, processing, storage, refining or distribution, including transportation, storage and trade, of fossil fuels as defined in Article 2, point (62), of Regulation (EU) 2018/1999 of the European Parliament and the Council 17)</t>
  </si>
  <si>
    <t>NACE A - AGRICULTURE, FORESTRY AND FISHING</t>
  </si>
  <si>
    <t>50% or more of their revenues from electricity generation with a GHG intensity of more than 100g CO2 e/kWh</t>
  </si>
  <si>
    <t>NACE A - 01 Crop and animal production, hunting and related service activities</t>
  </si>
  <si>
    <t>NACE A - 01.1 Growing of non-perennial crops</t>
  </si>
  <si>
    <t>NACE A - 01.2 Growing of perennial crops</t>
  </si>
  <si>
    <t>NACE A - 01.3 Plant propagation</t>
  </si>
  <si>
    <t>NACE A - 01.4 Animal production</t>
  </si>
  <si>
    <t>NACE A - 01.5 Mixed farming</t>
  </si>
  <si>
    <t>NACE A - 01.6 Support activities to agriculture and post-harvest crop activities</t>
  </si>
  <si>
    <t>NACE A - 01.7 Hunting, trapping and related service activities</t>
  </si>
  <si>
    <t>NACE A - 02 Forestry and logging</t>
  </si>
  <si>
    <t>NACE A - 02.1 Silviculture and other forestry activities</t>
  </si>
  <si>
    <t>NACE A - 02.2 Logging</t>
  </si>
  <si>
    <t>NACE A - 02.3 Gathering of wild growing non-wood products</t>
  </si>
  <si>
    <t>NACE A - 02.4 Support services to forestry</t>
  </si>
  <si>
    <t>NACE A - 03 Fishing and aquaculture</t>
  </si>
  <si>
    <t>NACE A - 03.1 Fishing</t>
  </si>
  <si>
    <t>NACE A - 03.2 Aquaculture</t>
  </si>
  <si>
    <t>NACE A - 03.3 Support activities for fishing and aquaculture</t>
  </si>
  <si>
    <t>NACE B - MINING AND QUARRYING</t>
  </si>
  <si>
    <t>NACE B - 04 Mining of coal and lignite</t>
  </si>
  <si>
    <t>NACE B - 05.1 Mining of hard coal</t>
  </si>
  <si>
    <t>NACE B - 05.2 Mining of lignite</t>
  </si>
  <si>
    <t>NACE B - 05 Extraction of crude petroleum and natural gas</t>
  </si>
  <si>
    <t>NACE B - 06.1 Extraction of crude petroleum</t>
  </si>
  <si>
    <t>NACE B - 06.2 Extraction of natural gas</t>
  </si>
  <si>
    <t>NACE B - 06 Mining of metal ores</t>
  </si>
  <si>
    <t>NACE B - 07.1 Mining of iron ores</t>
  </si>
  <si>
    <t>NACE B - 07.2 Mining of non-ferrous metal ores</t>
  </si>
  <si>
    <t>NACE B - 07 Other mining and quarrying</t>
  </si>
  <si>
    <t>NACE B - 08.1 Quarrying of stone, sand and clay</t>
  </si>
  <si>
    <t>NACE B - 08.9 Mining and quarrying n.e.c.</t>
  </si>
  <si>
    <t>NACE B - 08 Mining support service activities</t>
  </si>
  <si>
    <t>NACE B - 09.1 Support activities for petroleum and natural gas extraction</t>
  </si>
  <si>
    <t>NACE B - 09.9 Support activities for other mining and quarrying</t>
  </si>
  <si>
    <t>NACE C - MANUFACTURING</t>
  </si>
  <si>
    <t>NACE C - 10 Manufacture of food products</t>
  </si>
  <si>
    <t>NACE C - 10.1 Processing and preserving of meat and production of meat products</t>
  </si>
  <si>
    <t>NACE C - 10.2 Processing and preserving of fish, crustaceans and molluscs</t>
  </si>
  <si>
    <t>NACE C - 10.3 Processing and preserving of fruit and vegetables</t>
  </si>
  <si>
    <t>NACE C - 10.4 Manufacture of vegetable and animal oils and fats</t>
  </si>
  <si>
    <t>NACE C - 10.5 Manufacture of dairy products and edible ice</t>
  </si>
  <si>
    <t>NACE C - 10.6 Manufacture of grain mill products, starches and starch products</t>
  </si>
  <si>
    <t>NACE C - 10.7 Manufacture of bakery and farinaceous products</t>
  </si>
  <si>
    <t>NACE C - 10.8 Manufacture of other food products</t>
  </si>
  <si>
    <t>NACE C - 10.9 Manufacture of prepared animal feeds</t>
  </si>
  <si>
    <t>NACE C - 11 Manufacture of beverages</t>
  </si>
  <si>
    <t>NACE C - 11.0 Manufacture of beverages</t>
  </si>
  <si>
    <t>NACE C - 12 Manufacture of tobacco products</t>
  </si>
  <si>
    <t>NACE C - 12.0 Manufacture of tobacco products</t>
  </si>
  <si>
    <t>NACE C - 13 Manufacture of textiles</t>
  </si>
  <si>
    <t>NACE C - 13.1 Preparation and spinning of textile fibres</t>
  </si>
  <si>
    <t>NACE C - 13.2 Weaving of textiles</t>
  </si>
  <si>
    <t>NACE C - 13.3 Finishing of textiles</t>
  </si>
  <si>
    <t>NACE C - 13.9 Manufacture of other textiles</t>
  </si>
  <si>
    <t>NACE C - 14 Manufacture of wearing apparel</t>
  </si>
  <si>
    <t>NACE C - 14.1 Manufacture of knitted and crocheted apparel</t>
  </si>
  <si>
    <t>NACE C - 14.2 Manufacture of other wearing apparel and accessories</t>
  </si>
  <si>
    <t>NACE C - 15 Manufacture of leather and related products of other materials</t>
  </si>
  <si>
    <t>NACE C - 15.1 Tanning, dyeing, dressing of leather and fur; manufacture of luggage, handbags, saddlery and harness</t>
  </si>
  <si>
    <t>NACE C - 15.2 Manufacture of footwear</t>
  </si>
  <si>
    <t>NACE C - 15.20 Manufacture of footwear</t>
  </si>
  <si>
    <t>NACE C - 16 Manufacture of wood and of products of wood and cork, except furniture; manufacture of articles of straw and plaiting materials</t>
  </si>
  <si>
    <t>NACE C - 16.1 Sawmilling and planing of wood; processing and finishing of wood</t>
  </si>
  <si>
    <t>NACE C - 16.2 Manufacture of products of wood, cork, straw and plaiting materials</t>
  </si>
  <si>
    <t>NACE C - 17 Manufacture of paper and paper products</t>
  </si>
  <si>
    <t>NACE C - 17.1 Manufacture of pulp, paper and paperboard</t>
  </si>
  <si>
    <t>NACE C - 17.2 Manufacture of articles of paper and paperboard</t>
  </si>
  <si>
    <t>NACE C - 18 Printing and reproduction of recorded media</t>
  </si>
  <si>
    <t>NACE C - 18.1 Printing and service activities related to printing</t>
  </si>
  <si>
    <t>NACE C - 18.2 Reproduction of recorded media</t>
  </si>
  <si>
    <t>NACE C - 19 Manufacture of coke and refined petroleum products</t>
  </si>
  <si>
    <t>NACE C - 19.1 Manufacture of coke oven products</t>
  </si>
  <si>
    <t>NACE C - 19.2 Manufacture of refined petroleum products and fossil fuel products</t>
  </si>
  <si>
    <t>NACE C - 20 Manufacture of chemicals and chemical products</t>
  </si>
  <si>
    <t>NACE C - 20.1 Manufacture of basic chemicals, fertilisers and nitrogen compounds, plastics and synthetic rubber in primary forms</t>
  </si>
  <si>
    <t>NACE C - 20.2 Manufacture of pesticides, disinfectants and other agrochemical products</t>
  </si>
  <si>
    <t>NACE C - 20.3 Manufacture of paints, varnishes and similar coatings, printing ink and mastics</t>
  </si>
  <si>
    <t>NACE C - 20.4 Manufacture of washing, cleaning and polishing preparations</t>
  </si>
  <si>
    <t>NACE C - 20.5 Manufacture of other chemical products</t>
  </si>
  <si>
    <t>NACE C - 20.6 Manufacture of man-made fibres</t>
  </si>
  <si>
    <t>NACE C - 21 Manufacture of basic pharmaceutical products and pharmaceutical preparations</t>
  </si>
  <si>
    <t>NACE C - 21.1 Manufacture of basic pharmaceutical products</t>
  </si>
  <si>
    <t>NACE C - 21.2 Manufacture of pharmaceutical preparations</t>
  </si>
  <si>
    <t>NACE C - 22 Manufacture of rubber and plastic products</t>
  </si>
  <si>
    <t>NACE C - 22.1 Manufacture of rubber products</t>
  </si>
  <si>
    <t>NACE C - 22.2 Manufacture of plastic products</t>
  </si>
  <si>
    <t>NACE C - 23 Manufacture of other non-metallic mineral products</t>
  </si>
  <si>
    <t>NACE C - 23.1 Manufacture of glass and glass products</t>
  </si>
  <si>
    <t>NACE C - 23.2 Manufacture of refractory products</t>
  </si>
  <si>
    <t>NACE C - 23.3 Manufacture of clay building materials</t>
  </si>
  <si>
    <t>NACE C - 23.4 Manufacture of other porcelain and ceramic products</t>
  </si>
  <si>
    <t>NACE C - 23.5 Manufacture of cement, lime and plaster</t>
  </si>
  <si>
    <t>NACE C - 23.6 Manufacture of articles of concrete, cement and plaster</t>
  </si>
  <si>
    <t>NACE C - 23.7 Cutting, shaping and finishing of stone</t>
  </si>
  <si>
    <t>NACE C - 23.9 Manufacture of abrasive products and non-metallic mineral products n.e.c.</t>
  </si>
  <si>
    <t>NACE C - 24 Manufacture of basic metals</t>
  </si>
  <si>
    <t>NACE C - 24.1 Manufacture of basic iron and steel and of ferro-alloys</t>
  </si>
  <si>
    <t>NACE C - 24.2 Manufacture of tubes, pipes, hollow profiles and related fittings, of steel</t>
  </si>
  <si>
    <t>NACE C - 24.3 Manufacture of other products of first processing of steel</t>
  </si>
  <si>
    <t>NACE C - 24.4 Manufacture of basic precious and other non-ferrous metals</t>
  </si>
  <si>
    <t>NACE C - 24.5 Casting of metals</t>
  </si>
  <si>
    <t>NACE C - 25 Manufacture of fabricated metal products, except machinery and equipment</t>
  </si>
  <si>
    <t>NACE C - 25.1 Manufacture of structural metal products</t>
  </si>
  <si>
    <t>NACE C - 25.2 Manufacture of tanks, reservoirs and containers of metal</t>
  </si>
  <si>
    <t>NACE C - 25.3 Manufacture of weapons and ammunition</t>
  </si>
  <si>
    <t>NACE C - 25.4 Forging and shaping metal and powder metallurgy</t>
  </si>
  <si>
    <t>NACE C - 25.5 Treatment and coating of metals; machining</t>
  </si>
  <si>
    <t>NACE C - 25.6 Manufacture of cutlery, tools and general hardware</t>
  </si>
  <si>
    <t>NACE C - 25.9 Manufacture of other fabricated metal products</t>
  </si>
  <si>
    <t>NACE C - 26 Manufacture of computer, electronic and optical products</t>
  </si>
  <si>
    <t>NACE C - 26.1 Manufacture of electronic components and boards</t>
  </si>
  <si>
    <t>NACE C - 26.2 Manufacture of computers and peripheral equipment</t>
  </si>
  <si>
    <t>NACE C - 26.3 Manufacture of communication equipment</t>
  </si>
  <si>
    <t>NACE C - 26.4 Manufacture of consumer electronics</t>
  </si>
  <si>
    <t>NACE C - 26.5 Manufacture of measuring testing instruments, clocks and watches</t>
  </si>
  <si>
    <t>NACE C - 26.6 Manufacture of irradiation, electromedical and electrotherapeutic equipment</t>
  </si>
  <si>
    <t>NACE C - 26.7 Manufacture of optical instruments, magnetic and optical media and photographic equipment</t>
  </si>
  <si>
    <t>NACE C - 27 Manufacture of electrical equipment</t>
  </si>
  <si>
    <t>NACE C - 27.1 Manufacture of electric motors, generators, transformers and electricity distribution and control apparatus</t>
  </si>
  <si>
    <t>NACE C - 27.2 Manufacture of batteries and accumulators</t>
  </si>
  <si>
    <t>NACE C - 27.3 Manufacture of wiring and wiring devices</t>
  </si>
  <si>
    <t>NACE C - 27.4 Manufacture of lighting equipment</t>
  </si>
  <si>
    <t>NACE C - 27.5 Manufacture of domestic appliances</t>
  </si>
  <si>
    <t>NACE C - 27.9 Manufacture of other electrical equipment</t>
  </si>
  <si>
    <t>NACE C - 28 Manufacture of machinery and equipment n.e.c.</t>
  </si>
  <si>
    <t>NACE C - 28.1 Manufacture of general-purpose machinery</t>
  </si>
  <si>
    <t>NACE C - 28.2 Manufacture of other general-purpose machinery</t>
  </si>
  <si>
    <t>NACE C - 28.3 Manufacture of agricultural and forestry machinery</t>
  </si>
  <si>
    <t>NACE C - 28.4 Manufacture of metal forming machinery and machine tools</t>
  </si>
  <si>
    <t>NACE C - 28.9 Manufacture of other special-purpose machinery</t>
  </si>
  <si>
    <t>NACE C - 29 Manufacture of motor vehicles, trailers and semi-trailers</t>
  </si>
  <si>
    <t>NACE C - 29.1 Manufacture of motor vehicles</t>
  </si>
  <si>
    <t>NACE C - 29.2 Manufacture of bodies and coachwork for motor vehicles; manufacture of trailers and semi-trailers</t>
  </si>
  <si>
    <t>NACE C - 29.3 Manufacture of motor vehicle parts and accessories</t>
  </si>
  <si>
    <t>NACE C - 30 Manufacture of other transport equipment</t>
  </si>
  <si>
    <t>NACE C - 30.1 Building of ships and boats</t>
  </si>
  <si>
    <t>NACE C - 30.2 Manufacture of railway locomotives and rolling stock</t>
  </si>
  <si>
    <t>NACE C - 30.3 Manufacture of air and spacecraft and related machinery</t>
  </si>
  <si>
    <t>NACE C - 30.4 Manufacture of military fighting vehicles</t>
  </si>
  <si>
    <t>NACE C - 30.9 Manufacture of transport equipment n.e.c.</t>
  </si>
  <si>
    <t>NACE C - 31 Manufacture of furniture</t>
  </si>
  <si>
    <t>NACE C - 31.0 Manufacture of furniture</t>
  </si>
  <si>
    <t>NACE C - 32 Other manufacturing</t>
  </si>
  <si>
    <t>NACE C - 32.1 Manufacture of jewellery, bijouterie and related articles</t>
  </si>
  <si>
    <t>NACE C - 32.2 Manufacture of musical instruments</t>
  </si>
  <si>
    <t>NACE C - 32.3 Manufacture of sports goods</t>
  </si>
  <si>
    <t>NACE C - 32.4 Manufacture of games and toys</t>
  </si>
  <si>
    <t>NACE C - 32.5 Manufacture of medical and dental instruments and supplies</t>
  </si>
  <si>
    <t>NACE C - 32.9 Manufacturing n.e.c.</t>
  </si>
  <si>
    <t>NACE C - 33 Repair, maintenance and installation of machinery and equipment</t>
  </si>
  <si>
    <t>NACE C - 33.1 Repair and maintenance of fabricated metal products, machinery and equipment</t>
  </si>
  <si>
    <t>NACE C - 33.2 Installation of industrial machinery and equipment</t>
  </si>
  <si>
    <t>NACE D - ELECTRICITY, GAS, STEAM AND AIR CONDITIONING SUPPLY</t>
  </si>
  <si>
    <t>NACE D - 35 Electricity, gas, steam and air conditioning supply</t>
  </si>
  <si>
    <t>NACE D - 35.1 Electric power generation, transmission and distribution</t>
  </si>
  <si>
    <t>NACE D - 35.2 Manufacture of gas, and distribution of gaseous fuels through mains</t>
  </si>
  <si>
    <t>NACE D - 35.3 Steam and air conditioning supply</t>
  </si>
  <si>
    <t>NACE D - 35.4 Activities of brokers and agents for electric power and natural gas</t>
  </si>
  <si>
    <t>NACE E - WATER SUPPLY; SEWERAGE, WASTE MANAGEMENT AND REMEDIATION ACTIVITIES</t>
  </si>
  <si>
    <t>NACE E - 36 Water collection, treatment and supply</t>
  </si>
  <si>
    <t>NACE E - 36.0 Water collection, treatment and supply</t>
  </si>
  <si>
    <t>NACE E - 37 Sewerage</t>
  </si>
  <si>
    <t>NACE E - 37.0 Sewerage</t>
  </si>
  <si>
    <t>NACE E - 38 Waste collection, recovery and disposal activities</t>
  </si>
  <si>
    <t>NACE E - 38.1 Waste collection</t>
  </si>
  <si>
    <t>NACE E - 38.2 Waste recovery</t>
  </si>
  <si>
    <t>NACE E - 38.3 Waste disposal without recovery</t>
  </si>
  <si>
    <t>NACE E - 39 Remediation activities and other waste management service activities</t>
  </si>
  <si>
    <t>NACE E - 39.0 Remediation activities and other waste management service activities</t>
  </si>
  <si>
    <t>NACE F - CONSTRUCTION</t>
  </si>
  <si>
    <t>NACE F - 41 Construction of residential and non-residential buildings</t>
  </si>
  <si>
    <t>NACE F - 41.0 Construction of residential and non-residential buildings</t>
  </si>
  <si>
    <t>NACE F - 42 Civil engineering</t>
  </si>
  <si>
    <t>NACE F - 42.1 Construction of roads and railways</t>
  </si>
  <si>
    <t>NACE F - 42.2 Construction of utility projects</t>
  </si>
  <si>
    <t>NACE F - 42.9 Construction of other civil engineering projects</t>
  </si>
  <si>
    <t>NACE F - 43 Specialised construction activities</t>
  </si>
  <si>
    <t>NACE F - 43.1 Demolition and site preparation</t>
  </si>
  <si>
    <t>NACE F - 43.2 Electrical, plumbing and other construction installation activities</t>
  </si>
  <si>
    <t>NACE F - 43.3 Building completion and finishing</t>
  </si>
  <si>
    <t>NACE F - 43.4 Specialised construction activities in construction of buildings</t>
  </si>
  <si>
    <t>NACE F - 43.5 Specialised construction activities in civil engineering</t>
  </si>
  <si>
    <t>NACE F - 43.6 Intermediation service activities for specialised construction services</t>
  </si>
  <si>
    <t>NACE F - 43.9 Other specialised construction activities</t>
  </si>
  <si>
    <t>NACE G - WHOLESALE AND RETAIL TRADE</t>
  </si>
  <si>
    <t>NACE G - 46 Wholesale trade</t>
  </si>
  <si>
    <t>NACE G - 46.1 Wholesale on a fee or contract basis</t>
  </si>
  <si>
    <t>NACE G - 46.2 Wholesale of agricultural raw materials and live animals</t>
  </si>
  <si>
    <t>NACE G - 46.3 Wholesale of food, beverages and tobacco</t>
  </si>
  <si>
    <t>NACE G - 46.4 Wholesale of household goods</t>
  </si>
  <si>
    <t>NACE G - 46.5 Wholesale of information and communication equipment</t>
  </si>
  <si>
    <t>NACE G - 46.6 Wholesale of other machinery, equipment and supplies</t>
  </si>
  <si>
    <t>NACE G - 46.7 Wholesale of motor vehicles, motorcycles and related parts and accessories</t>
  </si>
  <si>
    <t>NACE G - 46.8 Other specialised wholesale</t>
  </si>
  <si>
    <t>NACE G - 46.9 Non-specialised wholesale trade</t>
  </si>
  <si>
    <t>NACE G - 47 Retail trade</t>
  </si>
  <si>
    <t>NACE G - 47.1 Non-specialised retail sale</t>
  </si>
  <si>
    <t>NACE G - 47.2 Retail sale of food, beverages and tobacco</t>
  </si>
  <si>
    <t>NACE G - 47.3 Retail sale of automotive fuel</t>
  </si>
  <si>
    <t>NACE G - 47.4 Retail sale of information and communication equipment</t>
  </si>
  <si>
    <t>NACE G - 47.5 Retail sale of other household equipment</t>
  </si>
  <si>
    <t>NACE G - 47.6 Retail sale of cultural and recreation goods</t>
  </si>
  <si>
    <t>NACE G - 47.7 Retail sale of other goods, except motor vehicles and motorcycles</t>
  </si>
  <si>
    <t>NACE G - 47.8 Retail sale of motor vehicles, motorcycles and related parts and accessories</t>
  </si>
  <si>
    <t>NACE G - 47.9 Intermediation service activities for retail sale</t>
  </si>
  <si>
    <t>NACE H - TRANSPORTATION AND STORAGE</t>
  </si>
  <si>
    <t>NACE H - 49 Land transport and transport via pipelines</t>
  </si>
  <si>
    <t>NACE H - 49.1 Passenger rail transport</t>
  </si>
  <si>
    <t>NACE H - 49.2 Freight rail transport</t>
  </si>
  <si>
    <t>NACE H - 49.3 Other passenger land transport</t>
  </si>
  <si>
    <t>NACE H - 49.4 Freight transport by road and removal services</t>
  </si>
  <si>
    <t>NACE H - 49.5 Transport via pipeline</t>
  </si>
  <si>
    <t>NACE H - 50 Water transport</t>
  </si>
  <si>
    <t>NACE H - 50.1 Sea and coastal passenger water transport</t>
  </si>
  <si>
    <t>NACE H - 50.2 Sea and coastal freight water transport</t>
  </si>
  <si>
    <t>NACE H - 50.3 Inland passenger water transport</t>
  </si>
  <si>
    <t>NACE H - 50.4 Inland freight water transport</t>
  </si>
  <si>
    <t>NACE H - 51 Air transport</t>
  </si>
  <si>
    <t>NACE H - 51.1 Passenger air transport</t>
  </si>
  <si>
    <t>NACE H - 51.2 Freight air transport and space transport</t>
  </si>
  <si>
    <t>NACE H - 52 Warehousing, storage and support activities for transportation</t>
  </si>
  <si>
    <t>NACE H - 52.1 Warehousing and storage</t>
  </si>
  <si>
    <t>NACE H - 52.2 Support activities for transportation</t>
  </si>
  <si>
    <t>NACE H - 52.3 Intermediation service activities for transportation</t>
  </si>
  <si>
    <t>NACE H - 53 Postal and courier activities</t>
  </si>
  <si>
    <t>NACE H - 53.1 Postal activities under universal service obligation</t>
  </si>
  <si>
    <t>NACE H - 53.2 Other postal and courier activities</t>
  </si>
  <si>
    <t>NACE H - 53.3 Intermediation service activities for postal and courier activities</t>
  </si>
  <si>
    <t>NACE I - ACCOMMODATION AND FOOD SERVICE ACTIVITIES</t>
  </si>
  <si>
    <t>NACE I - 55 Accommodation</t>
  </si>
  <si>
    <t>NACE I - 55.1 Hotels and similar accommodation</t>
  </si>
  <si>
    <t>NACE I - 55.2 Holiday and other short-stay accommodation</t>
  </si>
  <si>
    <t>NACE I - 55.3 Camping grounds and recreational vehicle parks</t>
  </si>
  <si>
    <t>NACE I - 55.4 Intermediation service activities for accommodation</t>
  </si>
  <si>
    <t>NACE I - 55.9 Other accommodation</t>
  </si>
  <si>
    <t>NACE I - 56 Food and beverage service activities</t>
  </si>
  <si>
    <t>NACE I - 56.1 Restaurants and mobile food service activities</t>
  </si>
  <si>
    <t>NACE I - 56.2 Event catering, contract catering service activities and other food service activities</t>
  </si>
  <si>
    <t>NACE I - 56.21 Event catering activities</t>
  </si>
  <si>
    <t>NACE I - 56.3 Beverage serving activities</t>
  </si>
  <si>
    <t>NACE I - 56.4 Intermediation service activities for food and beverage services activities</t>
  </si>
  <si>
    <t>NACE J - PUBLISHING, BROADCASTING, AND CONTENT PRODUCTION AND DISTRIBUTION ACTIVITIES</t>
  </si>
  <si>
    <t>NACE J - 58 Publishing activities</t>
  </si>
  <si>
    <t>NACE J - 58.1 Publishing of books, newspapers and other publishing activities, except software publishing</t>
  </si>
  <si>
    <t>NACE J - 58.2 Software publishing</t>
  </si>
  <si>
    <t>NACE J - 59 Motion picture, video and television programme production, sound recording and music publishing activities</t>
  </si>
  <si>
    <t>NACE J - 59.1 Motion picture, video and television programme activities</t>
  </si>
  <si>
    <t>NACE J - 59.2 Sound recording and music publishing activities</t>
  </si>
  <si>
    <t>NACE J - 60 Programming, broadcasting, news agency and other content distribution activities</t>
  </si>
  <si>
    <t>NACE J - 60.1 Radio broadcasting and audio distribution activities</t>
  </si>
  <si>
    <t>NACE J - 60.2 Television programming, broadcasting and video distribution activities</t>
  </si>
  <si>
    <t>NACE J - 60.3 News agency and other content distribution activities</t>
  </si>
  <si>
    <t>NACE K - TELECOMMUNICATION, COMPUTER PROGRAMMING, CONSULTING, COMPUTING INFRASTRUCTURE AND OTHER INFORMATION SERVICE ACTIVITIES</t>
  </si>
  <si>
    <t>NACE K - 61 Telecommunication</t>
  </si>
  <si>
    <t>NACE K - 61.1 Wired, wireless, and satellite telecommunication activities</t>
  </si>
  <si>
    <t>NACE K - 61.2 Telecommunication reselling activities and intermediation service activities for telecommunication</t>
  </si>
  <si>
    <t>NACE K - 61.9 Other telecommunication activities</t>
  </si>
  <si>
    <t>NACE K - 62 Computer programming, consultancy and related activities</t>
  </si>
  <si>
    <t>NACE K - 62.1 Computer programming activities</t>
  </si>
  <si>
    <t>NACE K - 62.2 Computer consultancy and computer facilities management activities</t>
  </si>
  <si>
    <t>NACE K - 62.9 Other information technology and computer service activities</t>
  </si>
  <si>
    <t>NACE K - 63 Computing infrastructure, data processing, hosting and other information service activities</t>
  </si>
  <si>
    <t>NACE K - 63.1 Computing infrastructure, data processing, hosting and related activities</t>
  </si>
  <si>
    <t>NACE K - 63.9 Web search portal activities and other information service activities</t>
  </si>
  <si>
    <t>NACE L - FINANCIAL AND INSURANCE ACTIVITIES</t>
  </si>
  <si>
    <t>NACE L - 64 Financial service activities, except insurance and pension funding</t>
  </si>
  <si>
    <t>NACE L - 64.1 Monetary intermediation</t>
  </si>
  <si>
    <t>NACE L - 64.2 Activities of holding companies and financing conduits</t>
  </si>
  <si>
    <t>NACE L - 64.3 Activities of trusts, funds and similar financial entities</t>
  </si>
  <si>
    <t>NACE L - 64.9 Other financial service activities, except insurance and pension funding</t>
  </si>
  <si>
    <t>NACE L - 65 Insurance, reinsurance and pension funding, except compulsory social security</t>
  </si>
  <si>
    <t>NACE L - 65.1 Insurance</t>
  </si>
  <si>
    <t>NACE L - 65.2 Reinsurance</t>
  </si>
  <si>
    <t>NACE L - 65.3 Pension funding</t>
  </si>
  <si>
    <t>NACE L - 66 Activities auxiliary to financial services and insurance activities</t>
  </si>
  <si>
    <t>NACE L - 66.1 Activities auxiliary to financial services, except insurance and pension funding</t>
  </si>
  <si>
    <t>NACE L - 66.2 Activities auxiliary to insurance and pension funding</t>
  </si>
  <si>
    <t>NACE L - 66.3 Fund management activities</t>
  </si>
  <si>
    <t>NACE M - REAL ESTATE ACTIVITIES</t>
  </si>
  <si>
    <t>NACE M - 68 Real estate activities</t>
  </si>
  <si>
    <t>NACE M - 68.1 Real estate activities with own property and development of building projects</t>
  </si>
  <si>
    <t>NACE M - 68.2 Rental and operating of own or leased real estate</t>
  </si>
  <si>
    <t>NACE M - 68.3 Real estate activities on a fee or contract basis</t>
  </si>
  <si>
    <t>NACE N - PROFESSIONAL, SCIENTIFIC AND TECHNICAL ACTIVITIES</t>
  </si>
  <si>
    <t>NACE N - 69 Legal and accounting activities</t>
  </si>
  <si>
    <t>NACE N - 69.1 Legal activities</t>
  </si>
  <si>
    <t>NACE N - 69.2 Accounting, bookkeeping and auditing activities; tax consultancy</t>
  </si>
  <si>
    <t>NACE N - 70 Activities of head offices and management consultancy</t>
  </si>
  <si>
    <t>NACE N - 70.1 Activities of head offices</t>
  </si>
  <si>
    <t>NACE N - 70.2 Business and other management consultancy activities</t>
  </si>
  <si>
    <t>NACE N - 71 Architectural and engineering activities; technical testing and analysis</t>
  </si>
  <si>
    <t>NACE N - 71.1 Architectural and engineering activities and related technical consultancy</t>
  </si>
  <si>
    <t>NACE N - 71.2 Technical testing and analysis</t>
  </si>
  <si>
    <t>NACE N - 72 Scientific research and development</t>
  </si>
  <si>
    <t>NACE N - 72.1 Research and experimental development on natural sciences and engineering</t>
  </si>
  <si>
    <t>NACE N - 72.2 Research and experimental development on social sciences and humanities</t>
  </si>
  <si>
    <t>NACE N - 73 Activities of advertising, market research and public relations</t>
  </si>
  <si>
    <t>NACE N - 73.1 Advertising</t>
  </si>
  <si>
    <t>NACE N - 73.2 Market research and public opinion polling</t>
  </si>
  <si>
    <t>NACE N - 73.3 Public relations and communication activities</t>
  </si>
  <si>
    <t>NACE N - 74 Other professional, scientific and technical activities</t>
  </si>
  <si>
    <t>NACE N - 74.1 Specialised design activities</t>
  </si>
  <si>
    <t>NACE N - 74.2 Photographic activities</t>
  </si>
  <si>
    <t>NACE N - 74.3 Translation and interpretation activities</t>
  </si>
  <si>
    <t>NACE N - 74.9 Other professional, scientific and technical activities n.e.c.</t>
  </si>
  <si>
    <t>NACE N - 75 Veterinary activities</t>
  </si>
  <si>
    <t>NACE N - 75.0 Veterinary activities</t>
  </si>
  <si>
    <t>NACE O - ADMINISTRATIVE AND SUPPORT SERVICE ACTIVITIES</t>
  </si>
  <si>
    <t>NACE O - 77 Rental and leasing activities</t>
  </si>
  <si>
    <t>NACE O - 77.1 Rental and leasing of motor vehicles</t>
  </si>
  <si>
    <t>NACE O - 77.2 Rental and leasing of personal and household goods</t>
  </si>
  <si>
    <t>NACE O - 77.3 Rental and leasing of other machinery, equipment and tangible goods</t>
  </si>
  <si>
    <t>NACE O - 77.4 Leasing of intellectual property and similar products, except copyrighted works</t>
  </si>
  <si>
    <t>NACE O - 77.5 Intermediation service activities for rental and leasing of tangible goods and non-financial intangible assets</t>
  </si>
  <si>
    <t>NACE O - 78 Employment activities</t>
  </si>
  <si>
    <t>NACE O - 78.1 Activities of employment placement agencies</t>
  </si>
  <si>
    <t>NACE O - 78.2 Temporary employment agency activities and other human resource provisions</t>
  </si>
  <si>
    <t>NACE O - 79 Travel agency, tour operator and other reservation service and related activities</t>
  </si>
  <si>
    <t>NACE O - 79.1 Travel agency and tour operator activities</t>
  </si>
  <si>
    <t>NACE O - 79.9 Other reservation service and related activities</t>
  </si>
  <si>
    <t>NACE O - 80 Investigation and security activities</t>
  </si>
  <si>
    <t>NACE O - 80.0 Investigation and security activities</t>
  </si>
  <si>
    <t>NACE O - 81 Services to buildings and landscape activities</t>
  </si>
  <si>
    <t>NACE O - 81.1 Combined facilities support activities</t>
  </si>
  <si>
    <t>NACE O - 81.2 Cleaning activities</t>
  </si>
  <si>
    <t>NACE O - 81.3 Landscape service activities</t>
  </si>
  <si>
    <t>NACE O - 82 Office administrative, office support and other business support activities</t>
  </si>
  <si>
    <t>NACE O - 82.1 Office administrative and support activities</t>
  </si>
  <si>
    <t>NACE O - 82.2 Activities of call centres</t>
  </si>
  <si>
    <t>NACE O - 82.3 Organisation of conventions and trade shows</t>
  </si>
  <si>
    <t>NACE O - 82.4 Intermediation service activities for business support service activities n.e.c.</t>
  </si>
  <si>
    <t>NACE O - 82.9 Business support service activities n.e.c.</t>
  </si>
  <si>
    <t>NACE P - PUBLIC ADMINISTRATION AND DEFENCE; COMPULSORY SOCIAL SECURITY</t>
  </si>
  <si>
    <t>NACE P - 84 Public administration and defence; compulsory social security</t>
  </si>
  <si>
    <t>NACE P - 84.1 Administration of the State and the economic, social and environmental policies of the community</t>
  </si>
  <si>
    <t>NACE P - 84.2 Provision of services to the community as a whole</t>
  </si>
  <si>
    <t>NACE P - 84.3 Compulsory social security activities</t>
  </si>
  <si>
    <t>NACE Q - EDUCATION</t>
  </si>
  <si>
    <t>NACE Q - 85 Education</t>
  </si>
  <si>
    <t>NACE Q - 85.1 Pre-primary education</t>
  </si>
  <si>
    <t>NACE Q - 85.2 Primary education</t>
  </si>
  <si>
    <t>NACE Q - 85.3 Secondary and post-secondary non-tertiary education</t>
  </si>
  <si>
    <t>NACE Q - 85.4 Tertiary education</t>
  </si>
  <si>
    <t>NACE Q - 85.5 Other education</t>
  </si>
  <si>
    <t>NACE Q - 85.6 Educational support activities</t>
  </si>
  <si>
    <t>NACE R - HUMAN HEALTH AND SOCIAL WORK ACTIVITIES</t>
  </si>
  <si>
    <t>NACE R - 86 Human health activities</t>
  </si>
  <si>
    <t>NACE R - 86.1 Hospital activities</t>
  </si>
  <si>
    <t>NACE R - 86.2 Medical and dental practice activities</t>
  </si>
  <si>
    <t>NACE R - 86.9 Other human health activities</t>
  </si>
  <si>
    <t>NACE R - 87 Residential care activities</t>
  </si>
  <si>
    <t>NACE R - 87.1 Residential nursing care activities</t>
  </si>
  <si>
    <t>NACE R - 87.2 Residential care activities for persons living with or having a diagnosis of a mental illness or substance abuse</t>
  </si>
  <si>
    <t>NACE R - 87.3 Residential care activities for older persons or persons with physical disabilities</t>
  </si>
  <si>
    <t>NACE R - 87.9 Other residential care activities</t>
  </si>
  <si>
    <t>NACE R - 88 Social work activities without accommodation</t>
  </si>
  <si>
    <t>NACE R - 88.1 Social work activities without accommodation for older persons or persons with disabilities</t>
  </si>
  <si>
    <t>NACE R - 88.9 Other social work activities without accommodation</t>
  </si>
  <si>
    <t>NACE S - ARTS, SPORTS AND RECREATION</t>
  </si>
  <si>
    <t>NACE S - 90 Arts creation and performing arts activities</t>
  </si>
  <si>
    <t>NACE S - 90.1 Arts creation activities</t>
  </si>
  <si>
    <t>NACE S - 90.2 Activities of performing arts</t>
  </si>
  <si>
    <t>NACE S - 90.3 Support activities to arts creation and performing arts</t>
  </si>
  <si>
    <t>NACE S - 91 Libraries, archives, museums and other cultural activities</t>
  </si>
  <si>
    <t>NACE S - 91.1 Library and archive activities</t>
  </si>
  <si>
    <t>NACE S - 91.2 Museum, collection, historical site and monument activities</t>
  </si>
  <si>
    <t>NACE S - 91.3 Conservation, restoration and other support activities for cultural heritage</t>
  </si>
  <si>
    <t>NACE S - 91.4 Botanical and zoological garden and nature reserve activities</t>
  </si>
  <si>
    <t>NACE S - 92 Gambling and betting activities</t>
  </si>
  <si>
    <t>NACE S - 92.0 Gambling and betting activities</t>
  </si>
  <si>
    <t>NACE S - 93 Sports activities and amusement and recreation activities</t>
  </si>
  <si>
    <t>NACE S - 93.1 Sports activities</t>
  </si>
  <si>
    <t>NACE S - 93.2 Amusement and recreation activities</t>
  </si>
  <si>
    <t>NACE T - OTHER SERVICE ACTIVITIES</t>
  </si>
  <si>
    <t>NACE T - 94 Activities of membership organisations</t>
  </si>
  <si>
    <t>NACE T - 94.1 Activities of business, employers and professional membership organisations</t>
  </si>
  <si>
    <t>NACE T - 94.2 Activities of trade unions</t>
  </si>
  <si>
    <t>NACE T - 94.9 Activities of other membership organisations</t>
  </si>
  <si>
    <t>NACE T - 95 Repair and maintenance of computers, personal and household goods, and motor vehicles and motorcycles</t>
  </si>
  <si>
    <t>NACE T - 95.1 Repair and maintenance of computers and communication equipment</t>
  </si>
  <si>
    <t>NACE T - 95.2 Repair and maintenance of personal and household goods</t>
  </si>
  <si>
    <t>NACE T - 95.3 Repair and maintenance of motor vehicles and motorcycles</t>
  </si>
  <si>
    <t>NACE T - 95.4 Intermediation service activities for repair and maintenance of computers, personal and household goods, and motor vehicles and motorcycles</t>
  </si>
  <si>
    <t>NACE T - 96 Personal service activities</t>
  </si>
  <si>
    <t>NACE T - 96.1 Washing and cleaning of textile and fur products</t>
  </si>
  <si>
    <t>NACE T - 96.2 Hairdressing, beauty treatment, day spa and similar activities</t>
  </si>
  <si>
    <t>NACE T - 96.3 Funeral and related activities</t>
  </si>
  <si>
    <t>NACE T - 96.4 Intermediation service activities for personal services</t>
  </si>
  <si>
    <t>NACE T - 96.9 Other personal service activities</t>
  </si>
  <si>
    <t>NACE U - ACTIVITIES OF HOUSEHOLDS AS EMPLOYERS AND UNDIFFERENTIATED GOODS – AND SERVICE-PRODUCING ACTIVITIES OF HOUSEHOLDS FOR OWN USE</t>
  </si>
  <si>
    <t>NACE U - 97 Activities of households as employers of domestic personnel</t>
  </si>
  <si>
    <t>NACE U - 97.0 Activities of households as employers of domestic personnel</t>
  </si>
  <si>
    <t>NACE U - 98 Undifferentiated goods- and service-producing activities of private households for own use</t>
  </si>
  <si>
    <t>NACE U - 98.1 Undifferentiated goods-producing activities of private households for own use</t>
  </si>
  <si>
    <t>NACE U - 98.2 Undifferentiated service-producing activities of private households for own use</t>
  </si>
  <si>
    <t>NACE V - ACTIVITIES OF EXTRATERRITORIAL ORGANISATIONS AND BODIES</t>
  </si>
  <si>
    <t>NACE V - 99 Activities of extraterritorial organisations and bodies</t>
  </si>
  <si>
    <t>NACE V - 99.0 Activities of extraterritorial organisations and bodies</t>
  </si>
  <si>
    <t>NACE categories</t>
  </si>
  <si>
    <t>Arsenic and compounds (As)</t>
  </si>
  <si>
    <t>Cadmium and compounds (Cd)</t>
  </si>
  <si>
    <t>Chlorine and inorganic compounds (HCl)</t>
  </si>
  <si>
    <t>Chromium and compounds (Cr)</t>
  </si>
  <si>
    <t>Copper and compounds (Cu)</t>
  </si>
  <si>
    <t>Fluorine and inorganic compounds (HF)</t>
  </si>
  <si>
    <t>Halogenated organic compounds (AOX)</t>
  </si>
  <si>
    <t>Lead and compounds (Pb)</t>
  </si>
  <si>
    <t>Mercury and compounds (Hg)</t>
  </si>
  <si>
    <t>Nickel and compounds (Ni)</t>
  </si>
  <si>
    <t>Organotin compounds (total Sn)</t>
  </si>
  <si>
    <t>PCDD + PCDF (dioxins + furans) (Teq)</t>
  </si>
  <si>
    <t>Phenols (total C)</t>
  </si>
  <si>
    <t>Total organic carbon (TOC) (total C or COD/3)</t>
  </si>
  <si>
    <t>Zinc and compounds (Zn)</t>
  </si>
  <si>
    <t>Chlorides (total Cl)</t>
  </si>
  <si>
    <t>Cyanides (total CN)</t>
  </si>
  <si>
    <t>Fluorides (total F)</t>
  </si>
  <si>
    <t>1,2-dichloroethane (EDC)</t>
  </si>
  <si>
    <t>1,2,3,4,5,6-hexachlorocyclohexane (HCH)</t>
  </si>
  <si>
    <t>1,1,2,2-tetrachloroethane</t>
  </si>
  <si>
    <t>1,1,1-trichloroethane</t>
  </si>
  <si>
    <t>4. Validate the data entered by checking the validation status. The report is considered incomplete or errorneous if the validation is fails, which might result in an invalid XBRL report.</t>
  </si>
  <si>
    <t>0. Provide information that is mandatory in order to generate the VSME and XBRL Report.</t>
  </si>
  <si>
    <t>Area</t>
  </si>
  <si>
    <t>Water discharge from undertaking production processes (m³)</t>
  </si>
  <si>
    <t xml:space="preserve">Self-generated electricity </t>
  </si>
  <si>
    <t>Base Year</t>
  </si>
  <si>
    <t>Target Year</t>
  </si>
  <si>
    <t>Gross Scope 1 GHG Emissions</t>
  </si>
  <si>
    <t>Gross Scope 2 location-based GHG Emissions</t>
  </si>
  <si>
    <r>
      <t xml:space="preserve">Gross scope 2 market-based GHG Emissions </t>
    </r>
    <r>
      <rPr>
        <b/>
        <sz val="11"/>
        <color theme="1"/>
        <rFont val="Aptos Narrow"/>
        <family val="2"/>
        <scheme val="minor"/>
      </rPr>
      <t>- May (optional)</t>
    </r>
  </si>
  <si>
    <t>Total Scope 1 and Scope 2 GHG Emissions (location-based)</t>
  </si>
  <si>
    <r>
      <t xml:space="preserve">Total Scope 1 and Scope 2 GHG emissions  (market-based) </t>
    </r>
    <r>
      <rPr>
        <b/>
        <sz val="11"/>
        <color theme="1"/>
        <rFont val="Aptos Narrow"/>
        <family val="2"/>
        <scheme val="minor"/>
      </rPr>
      <t>- May (optional)</t>
    </r>
  </si>
  <si>
    <t>Total Scope 1, Scope 2 and Scope 3 GHG Emissions (location-based)</t>
  </si>
  <si>
    <t>-</t>
  </si>
  <si>
    <t>Undertaking applies circular economy principles</t>
  </si>
  <si>
    <r>
      <t>Description of actions taken to address the confirmed incidents.</t>
    </r>
    <r>
      <rPr>
        <b/>
        <sz val="11"/>
        <color theme="1"/>
        <rFont val="Aptos Narrow"/>
        <family val="2"/>
        <scheme val="minor"/>
      </rPr>
      <t xml:space="preserve"> - May (optional)</t>
    </r>
  </si>
  <si>
    <t>Specify other human rights related to the confirmed incidents</t>
  </si>
  <si>
    <t>Date of foreseen adoption of transition plan for undertaking not having adopted transition plan yet</t>
  </si>
  <si>
    <t xml:space="preserve">Rate of recordable work-related accidents in the reporting period </t>
  </si>
  <si>
    <t>Total Renewable Energy [MWh]</t>
  </si>
  <si>
    <t>Total Non-renewable Energy [MWh]</t>
  </si>
  <si>
    <t>Scope 1 and Scope 2 GHG Emissions intensity (location-based )</t>
  </si>
  <si>
    <r>
      <t xml:space="preserve">Scope 1 and Scope 2 GHG Emissions intensity (market-based) - </t>
    </r>
    <r>
      <rPr>
        <b/>
        <sz val="11"/>
        <color theme="1"/>
        <rFont val="Aptos Narrow"/>
        <family val="2"/>
        <scheme val="minor"/>
      </rPr>
      <t>May (Optional)</t>
    </r>
  </si>
  <si>
    <t>Total Scope 1, Scope 2 and Scope 3 GHG Emissions intensity (location-based)</t>
  </si>
  <si>
    <t xml:space="preserve">Waste diverted to recycle or reuse </t>
  </si>
  <si>
    <t>Related Site ID (select an ID from a site location reported in B1)</t>
  </si>
  <si>
    <t>Number of female board members at the end of the reporting period</t>
  </si>
  <si>
    <t>Number of male board members at the end of the reporting period</t>
  </si>
  <si>
    <t xml:space="preserve">Gender diversity ratio in governance body </t>
  </si>
  <si>
    <t>Site Location in/near a biodiversity area - auto filled from B1</t>
  </si>
  <si>
    <t>Percentage reduction from base year</t>
  </si>
  <si>
    <t>Status of implementation of a transation plan in relation to climate change mitigation</t>
  </si>
  <si>
    <t>Employee turnover rate [%]  in the reporting period</t>
  </si>
  <si>
    <t>Number of annual training hours per employee during the reporting period</t>
  </si>
  <si>
    <t>Percentage gap in pay between the  undertaking's female and male employees [%] - If applicable</t>
  </si>
  <si>
    <t>Description of climate-related hazards and climate-related transition events</t>
  </si>
  <si>
    <t xml:space="preserve">1. Purchased Goods and Services </t>
  </si>
  <si>
    <t xml:space="preserve">2. Capital Goods </t>
  </si>
  <si>
    <t xml:space="preserve">4. Upstream Transportation and Distribution </t>
  </si>
  <si>
    <t xml:space="preserve">5. Waste Generated in Operations </t>
  </si>
  <si>
    <t xml:space="preserve">6. Business Travel </t>
  </si>
  <si>
    <t xml:space="preserve">7. Employee Commuting </t>
  </si>
  <si>
    <t xml:space="preserve">8. Upstream Leased Assets </t>
  </si>
  <si>
    <t xml:space="preserve">9. Downstream Transportation and Distribution  </t>
  </si>
  <si>
    <t xml:space="preserve">10. Processing of Sold Products </t>
  </si>
  <si>
    <t xml:space="preserve">11. Use of Sold Products </t>
  </si>
  <si>
    <t xml:space="preserve">12. End-of-Life Treatment of Sold Products </t>
  </si>
  <si>
    <t xml:space="preserve">13. Downstream Leased Assets </t>
  </si>
  <si>
    <t xml:space="preserve">14. Franchises </t>
  </si>
  <si>
    <t>15. Investments</t>
  </si>
  <si>
    <t>hectares (ha)</t>
  </si>
  <si>
    <r>
      <t>cubic meters (m3</t>
    </r>
    <r>
      <rPr>
        <sz val="11"/>
        <color theme="1"/>
        <rFont val="Aptos Narrow"/>
        <family val="2"/>
      </rPr>
      <t>)</t>
    </r>
  </si>
  <si>
    <r>
      <t>squared meters (m2</t>
    </r>
    <r>
      <rPr>
        <sz val="11"/>
        <color theme="1"/>
        <rFont val="Aptos Narrow"/>
        <family val="2"/>
      </rPr>
      <t>)</t>
    </r>
  </si>
  <si>
    <t>C3 - GHG reduction targets (in tC02e) [If applicable]</t>
  </si>
  <si>
    <t>B3 - Estimated Greenhouse Gas Emissions considering the GHG Protocol Version 2004 (in tCO2e) [Always to be reported]</t>
  </si>
  <si>
    <t>Localization formula</t>
  </si>
  <si>
    <t>Longitude</t>
  </si>
  <si>
    <t>Latitude</t>
  </si>
  <si>
    <t>Longitude,Latitude ('General information!'K106:K130)</t>
  </si>
  <si>
    <t>Indicates that the datapoint (often a condition) will not be included in the VSME and digital XBRL report. These cells are provided to facilitate the completion of the disclosure as they either trigger the applicability of the disclosure or they enable the automatic calculation of the disclosure. If the yellow cells are not being used to calculate a value, the total that is to be reported can be entered manually overwriting by the formula.</t>
  </si>
  <si>
    <r>
      <t xml:space="preserve">List of currencies  </t>
    </r>
    <r>
      <rPr>
        <sz val="11"/>
        <color theme="1"/>
        <rFont val="Aptos Narrow"/>
        <family val="2"/>
        <scheme val="minor"/>
      </rPr>
      <t>(ISO 4217)</t>
    </r>
  </si>
  <si>
    <t>Total Energy [MWh]</t>
  </si>
  <si>
    <t>3. Fuel- and Energy-Related Activities (Not Included in Scope 1 or Scope 2)</t>
  </si>
  <si>
    <t>g</t>
  </si>
  <si>
    <t>hg</t>
  </si>
  <si>
    <t>Kg</t>
  </si>
  <si>
    <t>t</t>
  </si>
  <si>
    <t>Mg</t>
  </si>
  <si>
    <t>Gg</t>
  </si>
  <si>
    <t>Tg</t>
  </si>
  <si>
    <t>dag</t>
  </si>
  <si>
    <t>Undertaking has a practice, policy and/or future initiative that is publicly available</t>
  </si>
  <si>
    <t>Undertaking has set a target which is related to a policy</t>
  </si>
  <si>
    <t>Most senior level accountable for implementing practices, policies and/or future initiatives (if any)</t>
  </si>
  <si>
    <t>Sustainability issues addressed by a practice, policy and/or future initiatives that the undertaking has put in place</t>
  </si>
  <si>
    <t>Description of target related to a policy</t>
  </si>
  <si>
    <t>Description of those key elements in the strategy that relate or affect sustainability issues</t>
  </si>
  <si>
    <r>
      <t xml:space="preserve">Total Scope 1, Scope 2 and Scope 3 GHG Emissions (market-based) </t>
    </r>
    <r>
      <rPr>
        <b/>
        <sz val="11"/>
        <color theme="1"/>
        <rFont val="Aptos Narrow"/>
        <family val="2"/>
        <scheme val="minor"/>
      </rPr>
      <t>- May (optional)</t>
    </r>
  </si>
  <si>
    <r>
      <t>NACE Code List</t>
    </r>
    <r>
      <rPr>
        <sz val="11"/>
        <rFont val="Calibri"/>
        <family val="2"/>
      </rPr>
      <t xml:space="preserve"> (Commission Delegated Regulation (EU) 2023/137 of 10 October 2022 amending Regulation (EC) No 1893/2006 of the European Parliament and of the Council establishing the statistical classification of economic activities NACE Revision 2 (Text with EEA relevance) C/2022/7104)</t>
    </r>
  </si>
  <si>
    <r>
      <t xml:space="preserve">Automatic geolocation: enabling the OpenStreetMaps's automatic geolocation with the checkbox below the undertaking is declaring to be fully  fully aware and in acceptance of Nominatim Usage Policy and Privacy Policy.
OpenStreetMap® is open data, licensed under the Open Data Commons Open Database License (ODbL) by the OpenStreetMap Foundation (OSMF). All data belong and are owned by OpenStreetMap®.
</t>
    </r>
    <r>
      <rPr>
        <b/>
        <u/>
        <sz val="11"/>
        <color rgb="FF0070C0"/>
        <rFont val="Aptos Narrow"/>
        <family val="2"/>
        <scheme val="minor"/>
      </rPr>
      <t xml:space="preserve">Nominatim Usage Policy (Geocoding Policy)
</t>
    </r>
    <r>
      <rPr>
        <sz val="11"/>
        <color theme="1"/>
        <rFont val="Aptos Narrow"/>
        <family val="2"/>
        <scheme val="minor"/>
      </rPr>
      <t xml:space="preserve">
</t>
    </r>
    <r>
      <rPr>
        <b/>
        <u/>
        <sz val="11"/>
        <color rgb="FF0070C0"/>
        <rFont val="Aptos Narrow"/>
        <family val="2"/>
        <scheme val="minor"/>
      </rPr>
      <t>Privacy Policy</t>
    </r>
  </si>
  <si>
    <t>Adoption of a transition plan is planned in the future</t>
  </si>
  <si>
    <r>
      <t xml:space="preserve">Total Scope 1, Scope 2 and Scope 3 GHG Emissions intensity (market-based) - </t>
    </r>
    <r>
      <rPr>
        <b/>
        <sz val="11"/>
        <color theme="1"/>
        <rFont val="Aptos Narrow"/>
        <family val="2"/>
        <scheme val="minor"/>
      </rPr>
      <t>May (Optional)</t>
    </r>
  </si>
  <si>
    <t>Total Scope 3 GHG  emissions</t>
  </si>
  <si>
    <t>Typical renewability state</t>
  </si>
  <si>
    <t>Butane and isomers</t>
  </si>
  <si>
    <t>Gaseous</t>
  </si>
  <si>
    <t>Natural gas liquids (NGL)</t>
  </si>
  <si>
    <t>Kerosene</t>
  </si>
  <si>
    <t>Crude oil and distillates</t>
  </si>
  <si>
    <t>Main sources (density and NCV values in white cells):</t>
  </si>
  <si>
    <t>Additional sources (density and NCV values in red cells):</t>
  </si>
  <si>
    <t>a.</t>
  </si>
  <si>
    <t>b.</t>
  </si>
  <si>
    <t>c.</t>
  </si>
  <si>
    <t>d.</t>
  </si>
  <si>
    <t>e.</t>
  </si>
  <si>
    <t>f.</t>
  </si>
  <si>
    <t>g.</t>
  </si>
  <si>
    <t>h.</t>
  </si>
  <si>
    <t>i.</t>
  </si>
  <si>
    <t>l.</t>
  </si>
  <si>
    <t>m.</t>
  </si>
  <si>
    <t>n.</t>
  </si>
  <si>
    <t>o.</t>
  </si>
  <si>
    <t>p.</t>
  </si>
  <si>
    <t>q.</t>
  </si>
  <si>
    <t>r.</t>
  </si>
  <si>
    <t>s.</t>
  </si>
  <si>
    <t>t.</t>
  </si>
  <si>
    <t>j.</t>
  </si>
  <si>
    <t>k.</t>
  </si>
  <si>
    <t>Sulphite lyes (black liquor)</t>
  </si>
  <si>
    <r>
      <t xml:space="preserve">DISCLAIMER:
</t>
    </r>
    <r>
      <rPr>
        <sz val="16"/>
        <color rgb="FF242424"/>
        <rFont val="Aptos"/>
        <family val="2"/>
      </rPr>
      <t>This converter is intended solely to illustrate how energy consumption (in MWh) can be calculated from various fuel types. EFRAG assumes no responsibility or liability for the content or for any direct, indirect, or incidental consequences or damages resulting from the use of this fuel converter.
Please note that the typical values for Net Calorific Value (NCV) and Density are provided for each fuel type. However, these parameters may vary depending on factors such as national regulations, specific characteristics of fuel providers, or other circumstances. Therefore, users are expected to manually enter or adjust the NCV and Density values to reflect their specific situation.
Additionally, users are encouraged to determine the renewability status of each fuel based on Guarantees of Origin, as outlined in Article 19 of the European Directive 2018/2001/EC on the promotion of the use of energy from renewable sources. The default renewability status provided for each fuel is a typical assumption and should be adjusted if necessary, based on geographical or individual circumstances.</t>
    </r>
  </si>
  <si>
    <t>Total water consumption (m³)</t>
  </si>
  <si>
    <t>Total amount of water withdrawn from all sites (cubic meters, m³)</t>
  </si>
  <si>
    <t>Amount of water withdrawn at sites located in areas of high water-stress (cubic meters, m³)</t>
  </si>
  <si>
    <t>Total amount of waste generated</t>
  </si>
  <si>
    <t>Total Hazardous waste generated (mass)</t>
  </si>
  <si>
    <t>Total Non-Hazardous waste generated (mass)</t>
  </si>
  <si>
    <t>Total waste generated (mass)</t>
  </si>
  <si>
    <t>Total Hazardous waste generated (volume)</t>
  </si>
  <si>
    <t>Total Non-Hazardous waste generated (volume)</t>
  </si>
  <si>
    <t>Total waste generated (volume)</t>
  </si>
  <si>
    <t>Disclosure of whether it has undertaken climate change adaptation actions for any climate-related hazards and transition events</t>
  </si>
  <si>
    <t>Taxonomy entry point:</t>
  </si>
  <si>
    <t>- CDP Technical Note: Conversion of fuel data to MWh (based on 2006 IPCC Guidelines for National Greenhouse Gas Inventories, published by the World Resources Institute/World Business Council for Sustainable     Development in their stationary combustion calculation tool version 3.1(1)),</t>
  </si>
  <si>
    <r>
      <rPr>
        <sz val="11"/>
        <rFont val="Aptos Narrow"/>
        <family val="2"/>
        <scheme val="minor"/>
      </rPr>
      <t xml:space="preserve">available at: </t>
    </r>
    <r>
      <rPr>
        <u/>
        <sz val="11"/>
        <color theme="10"/>
        <rFont val="Aptos Narrow"/>
        <family val="2"/>
        <scheme val="minor"/>
      </rPr>
      <t>https://cdn.cdp.net/cdp-production/cms/guidance_docs/pdfs/000/000/477/original/CDP-Conversion-of-fuel-data-to-MWh.pdf?1479755175</t>
    </r>
    <r>
      <rPr>
        <sz val="11"/>
        <rFont val="Aptos Narrow"/>
        <family val="2"/>
        <scheme val="minor"/>
      </rPr>
      <t>.</t>
    </r>
  </si>
  <si>
    <t>- a. Typical Density of Biogasoline,</t>
  </si>
  <si>
    <r>
      <rPr>
        <sz val="11"/>
        <rFont val="Aptos Narrow"/>
        <family val="2"/>
        <scheme val="minor"/>
      </rPr>
      <t xml:space="preserve">available at: </t>
    </r>
    <r>
      <rPr>
        <u/>
        <sz val="11"/>
        <color theme="10"/>
        <rFont val="Aptos Narrow"/>
        <family val="2"/>
        <scheme val="minor"/>
      </rPr>
      <t>https://www.engineeringtoolbox.com/gasoline-density-specific-heat-dynamic-kinematic-viscosity-thermal-conductivity-vs-temperature-d_2224.html</t>
    </r>
    <r>
      <rPr>
        <sz val="11"/>
        <rFont val="Aptos Narrow"/>
        <family val="2"/>
        <scheme val="minor"/>
      </rPr>
      <t>;</t>
    </r>
  </si>
  <si>
    <t>- b. Typical Density of Bitumen,</t>
  </si>
  <si>
    <r>
      <rPr>
        <sz val="11"/>
        <rFont val="Aptos Narrow"/>
        <family val="2"/>
        <scheme val="minor"/>
      </rPr>
      <t xml:space="preserve">available at: </t>
    </r>
    <r>
      <rPr>
        <u/>
        <sz val="11"/>
        <color theme="10"/>
        <rFont val="Aptos Narrow"/>
        <family val="2"/>
        <scheme val="minor"/>
      </rPr>
      <t>https://atdmco.com/wiki-density-of-bitumen/</t>
    </r>
    <r>
      <rPr>
        <sz val="11"/>
        <rFont val="Aptos Narrow"/>
        <family val="2"/>
        <scheme val="minor"/>
      </rPr>
      <t>;</t>
    </r>
  </si>
  <si>
    <t>- c. Typical Density of Blast furnace gas,</t>
  </si>
  <si>
    <r>
      <rPr>
        <sz val="11"/>
        <rFont val="Aptos Narrow"/>
        <family val="2"/>
        <scheme val="minor"/>
      </rPr>
      <t xml:space="preserve">available at: </t>
    </r>
    <r>
      <rPr>
        <u/>
        <sz val="11"/>
        <color theme="10"/>
        <rFont val="Aptos Narrow"/>
        <family val="2"/>
        <scheme val="minor"/>
      </rPr>
      <t>https://engineeringtoolbox.com/gas-density-d_158.html</t>
    </r>
    <r>
      <rPr>
        <u/>
        <sz val="11"/>
        <rFont val="Aptos Narrow"/>
        <family val="2"/>
        <scheme val="minor"/>
      </rPr>
      <t>;</t>
    </r>
  </si>
  <si>
    <t>- d. Typical Density of Butane and isomers,</t>
  </si>
  <si>
    <r>
      <rPr>
        <sz val="11"/>
        <rFont val="Aptos Narrow"/>
        <family val="2"/>
        <scheme val="minor"/>
      </rPr>
      <t xml:space="preserve">available at: </t>
    </r>
    <r>
      <rPr>
        <u/>
        <sz val="11"/>
        <color theme="10"/>
        <rFont val="Aptos Narrow"/>
        <family val="2"/>
        <scheme val="minor"/>
      </rPr>
      <t>https://www.energuide.be/en/questions-answers/what-is-the-calorific-value-of-gas/9655/</t>
    </r>
    <r>
      <rPr>
        <sz val="11"/>
        <rFont val="Aptos Narrow"/>
        <family val="2"/>
        <scheme val="minor"/>
      </rPr>
      <t>;</t>
    </r>
  </si>
  <si>
    <t>- e. Typical Density of Coke oven gas,</t>
  </si>
  <si>
    <r>
      <rPr>
        <sz val="11"/>
        <rFont val="Aptos Narrow"/>
        <family val="2"/>
        <scheme val="minor"/>
      </rPr>
      <t xml:space="preserve">available at: </t>
    </r>
    <r>
      <rPr>
        <u/>
        <sz val="11"/>
        <color theme="10"/>
        <rFont val="Aptos Narrow"/>
        <family val="2"/>
        <scheme val="minor"/>
      </rPr>
      <t>http://cyyenergy.com/en/Products/info_itemid_138.html</t>
    </r>
    <r>
      <rPr>
        <sz val="11"/>
        <rFont val="Aptos Narrow"/>
        <family val="2"/>
        <scheme val="minor"/>
      </rPr>
      <t>;</t>
    </r>
  </si>
  <si>
    <t>- f. Typical Density of Coke gas,</t>
  </si>
  <si>
    <r>
      <rPr>
        <sz val="11"/>
        <rFont val="Aptos Narrow"/>
        <family val="2"/>
        <scheme val="minor"/>
      </rPr>
      <t xml:space="preserve">available at: </t>
    </r>
    <r>
      <rPr>
        <u/>
        <sz val="11"/>
        <color theme="10"/>
        <rFont val="Aptos Narrow"/>
        <family val="2"/>
        <scheme val="minor"/>
      </rPr>
      <t>https://op.europa.eu/en/publication-detail/-/publication/eaa047e8-644c-4149-bdcb-9dde79c64a12</t>
    </r>
    <r>
      <rPr>
        <sz val="11"/>
        <rFont val="Aptos Narrow"/>
        <family val="2"/>
        <scheme val="minor"/>
      </rPr>
      <t>;</t>
    </r>
  </si>
  <si>
    <r>
      <rPr>
        <sz val="11"/>
        <rFont val="Aptos Narrow"/>
        <family val="2"/>
        <scheme val="minor"/>
      </rPr>
      <t xml:space="preserve">                              </t>
    </r>
    <r>
      <rPr>
        <u/>
        <sz val="11"/>
        <color theme="10"/>
        <rFont val="Aptos Narrow"/>
        <family val="2"/>
        <scheme val="minor"/>
      </rPr>
      <t>https://www.bhel.com/sites/default/files/gas-properties-cog-1580716150.pdf</t>
    </r>
    <r>
      <rPr>
        <u/>
        <sz val="11"/>
        <rFont val="Aptos Narrow"/>
        <family val="2"/>
        <scheme val="minor"/>
      </rPr>
      <t>;</t>
    </r>
  </si>
  <si>
    <t>- g. Typical Density of Jet gasoline,</t>
  </si>
  <si>
    <r>
      <rPr>
        <sz val="11"/>
        <rFont val="Aptos Narrow"/>
        <family val="2"/>
        <scheme val="minor"/>
      </rPr>
      <t xml:space="preserve">available at: </t>
    </r>
    <r>
      <rPr>
        <u/>
        <sz val="11"/>
        <color theme="10"/>
        <rFont val="Aptos Narrow"/>
        <family val="2"/>
        <scheme val="minor"/>
      </rPr>
      <t>https://www.engineeringtoolbox.com/fuels-densities-specific-volumes-d_166.html;</t>
    </r>
  </si>
  <si>
    <r>
      <rPr>
        <sz val="11"/>
        <color theme="10"/>
        <rFont val="Aptos Narrow"/>
        <family val="2"/>
        <scheme val="minor"/>
      </rPr>
      <t xml:space="preserve">                               </t>
    </r>
    <r>
      <rPr>
        <u/>
        <sz val="11"/>
        <color theme="10"/>
        <rFont val="Aptos Narrow"/>
        <family val="2"/>
        <scheme val="minor"/>
      </rPr>
      <t>https://www.exxonmobil.com/en-bd/commercial-fuel/pds/gl-xx-jetfuel-series;</t>
    </r>
  </si>
  <si>
    <t>- h. Typical NCV of Methane,</t>
  </si>
  <si>
    <r>
      <rPr>
        <sz val="11"/>
        <rFont val="Aptos Narrow"/>
        <family val="2"/>
        <scheme val="minor"/>
      </rPr>
      <t xml:space="preserve">available at: </t>
    </r>
    <r>
      <rPr>
        <u/>
        <sz val="11"/>
        <color theme="10"/>
        <rFont val="Aptos Narrow"/>
        <family val="2"/>
        <scheme val="minor"/>
      </rPr>
      <t>https://eur-lex.europa.eu/eli/reg_impl/2018/2066/oj/eng#:~:text=Commission%20Implementing%20Regulation%20(EU)%202018,(Text%20with%20EEA%20relevance.);</t>
    </r>
  </si>
  <si>
    <t>- i. Typical Density of Oil shale and tar sands;</t>
  </si>
  <si>
    <r>
      <rPr>
        <sz val="11"/>
        <rFont val="Aptos Narrow"/>
        <family val="2"/>
        <scheme val="minor"/>
      </rPr>
      <t xml:space="preserve">available at: </t>
    </r>
    <r>
      <rPr>
        <u/>
        <sz val="11"/>
        <color theme="10"/>
        <rFont val="Aptos Narrow"/>
        <family val="2"/>
        <scheme val="minor"/>
      </rPr>
      <t>https://osf.io/s2qbt;</t>
    </r>
  </si>
  <si>
    <r>
      <rPr>
        <sz val="11"/>
        <color theme="10"/>
        <rFont val="Aptos Narrow"/>
        <family val="2"/>
        <scheme val="minor"/>
      </rPr>
      <t xml:space="preserve">                               </t>
    </r>
    <r>
      <rPr>
        <u/>
        <sz val="11"/>
        <color theme="10"/>
        <rFont val="Aptos Narrow"/>
        <family val="2"/>
        <scheme val="minor"/>
      </rPr>
      <t>https://www.researchgate.net/figure/Density-and-viscosity-of-shale-oil-in-Lucaogou-Formation-Jimsar-Sag_tbl1_336793871;</t>
    </r>
  </si>
  <si>
    <t>- j. Typical  Density of Orimulsion,</t>
  </si>
  <si>
    <r>
      <rPr>
        <sz val="11"/>
        <rFont val="Aptos Narrow"/>
        <family val="2"/>
        <scheme val="minor"/>
      </rPr>
      <t xml:space="preserve">available at: </t>
    </r>
    <r>
      <rPr>
        <u/>
        <sz val="11"/>
        <color theme="10"/>
        <rFont val="Aptos Narrow"/>
        <family val="2"/>
        <scheme val="minor"/>
      </rPr>
      <t>https://archive.epa.gov/emergencies/content/fss/web/pdf/orimuls.pdf;</t>
    </r>
  </si>
  <si>
    <t>- k. Typical NCV of Oxygen steel furnace gas,</t>
  </si>
  <si>
    <r>
      <rPr>
        <sz val="11"/>
        <rFont val="Aptos Narrow"/>
        <family val="2"/>
        <scheme val="minor"/>
      </rPr>
      <t xml:space="preserve">available at: </t>
    </r>
    <r>
      <rPr>
        <u/>
        <sz val="11"/>
        <color theme="10"/>
        <rFont val="Aptos Narrow"/>
        <family val="2"/>
        <scheme val="minor"/>
      </rPr>
      <t>https://op.europa.eu/en/publication-detail/-/publication/eaa047e8-644c-4149-bdcb-9dde79c64a12;</t>
    </r>
  </si>
  <si>
    <t>- l. Typical density of Propane,</t>
  </si>
  <si>
    <r>
      <rPr>
        <sz val="11"/>
        <rFont val="Aptos Narrow"/>
        <family val="2"/>
        <scheme val="minor"/>
      </rPr>
      <t xml:space="preserve">available at: </t>
    </r>
    <r>
      <rPr>
        <u/>
        <sz val="11"/>
        <color theme="10"/>
        <rFont val="Aptos Narrow"/>
        <family val="2"/>
        <scheme val="minor"/>
      </rPr>
      <t>https://www.engineeringtoolbox.com/propane-C3H8-density-specific-weight-temperature-pressure-d_2033.html?vA=15&amp;degree;</t>
    </r>
  </si>
  <si>
    <t>- m. Typical Density of Refinery feedstocks,</t>
  </si>
  <si>
    <r>
      <rPr>
        <sz val="11"/>
        <rFont val="Aptos Narrow"/>
        <family val="2"/>
        <scheme val="minor"/>
      </rPr>
      <t xml:space="preserve">available at: </t>
    </r>
    <r>
      <rPr>
        <u/>
        <sz val="11"/>
        <color theme="10"/>
        <rFont val="Aptos Narrow"/>
        <family val="2"/>
        <scheme val="minor"/>
      </rPr>
      <t>https://eippcb.jrc.ec.europa.eu/sites/default/files/2020-03/superseded_ref_bref-0203.pdf;</t>
    </r>
  </si>
  <si>
    <t>- n.  Typical Density of Refinery gas,</t>
  </si>
  <si>
    <r>
      <rPr>
        <sz val="11"/>
        <rFont val="Aptos Narrow"/>
        <family val="2"/>
        <scheme val="minor"/>
      </rPr>
      <t xml:space="preserve">available at: </t>
    </r>
    <r>
      <rPr>
        <u/>
        <sz val="11"/>
        <color theme="10"/>
        <rFont val="Aptos Narrow"/>
        <family val="2"/>
        <scheme val="minor"/>
      </rPr>
      <t>http://www.ipcc-nggip.iges.or.jp/efdb/find_ef_ft.php;</t>
    </r>
  </si>
  <si>
    <t>- o. Typical Density of Sulphite lyes (black liquor),</t>
  </si>
  <si>
    <r>
      <rPr>
        <sz val="11"/>
        <rFont val="Aptos Narrow"/>
        <family val="2"/>
        <scheme val="minor"/>
      </rPr>
      <t xml:space="preserve">available at: </t>
    </r>
    <r>
      <rPr>
        <u/>
        <sz val="11"/>
        <color theme="10"/>
        <rFont val="Aptos Narrow"/>
        <family val="2"/>
        <scheme val="minor"/>
      </rPr>
      <t>https://captainslog.gr/wp-content/uploads/2020/12/Sulphite-Lye-Cafn.pdf;</t>
    </r>
  </si>
  <si>
    <t>- p. Typical NCV of Turpentine,</t>
  </si>
  <si>
    <r>
      <rPr>
        <sz val="11"/>
        <rFont val="Aptos Narrow"/>
        <family val="2"/>
        <scheme val="minor"/>
      </rPr>
      <t xml:space="preserve">available at: </t>
    </r>
    <r>
      <rPr>
        <u/>
        <sz val="11"/>
        <color theme="10"/>
        <rFont val="Aptos Narrow"/>
        <family val="2"/>
        <scheme val="minor"/>
      </rPr>
      <t>https://iopscience.iop.org/article/10.1088/1757-899X/912/4/042075;</t>
    </r>
  </si>
  <si>
    <t>- q. Typical NCV of Vegetable oils,</t>
  </si>
  <si>
    <r>
      <rPr>
        <sz val="11"/>
        <rFont val="Aptos Narrow"/>
        <family val="2"/>
        <scheme val="minor"/>
      </rPr>
      <t xml:space="preserve">available at: </t>
    </r>
    <r>
      <rPr>
        <u/>
        <sz val="11"/>
        <color theme="10"/>
        <rFont val="Aptos Narrow"/>
        <family val="2"/>
        <scheme val="minor"/>
      </rPr>
      <t>https://www.engineeringtoolbox.com/fuels-higher-calorific-values-d_169.html;</t>
    </r>
  </si>
  <si>
    <t>- r. Typical Density pf Waste oils,</t>
  </si>
  <si>
    <r>
      <rPr>
        <sz val="11"/>
        <rFont val="Aptos Narrow"/>
        <family val="2"/>
        <scheme val="minor"/>
      </rPr>
      <t xml:space="preserve">available at: </t>
    </r>
    <r>
      <rPr>
        <u/>
        <sz val="11"/>
        <color theme="10"/>
        <rFont val="Aptos Narrow"/>
        <family val="2"/>
        <scheme val="minor"/>
      </rPr>
      <t>https://ehs.cranesville.com/msds.pdfs/MSDS(U003).pdf;</t>
    </r>
  </si>
  <si>
    <t>- s. Typical NCV of Waste water treatment biogas,</t>
  </si>
  <si>
    <r>
      <rPr>
        <sz val="11"/>
        <rFont val="Aptos Narrow"/>
        <family val="2"/>
        <scheme val="minor"/>
      </rPr>
      <t xml:space="preserve">available at: </t>
    </r>
    <r>
      <rPr>
        <u/>
        <sz val="11"/>
        <color theme="10"/>
        <rFont val="Aptos Narrow"/>
        <family val="2"/>
        <scheme val="minor"/>
      </rPr>
      <t>https://www.mdpi.com/2673-5628/5/1/6;</t>
    </r>
  </si>
  <si>
    <t>- t. Typical Density of White Spirit &amp; SBP,</t>
  </si>
  <si>
    <r>
      <rPr>
        <sz val="11"/>
        <rFont val="Aptos Narrow"/>
        <family val="2"/>
        <scheme val="minor"/>
      </rPr>
      <t xml:space="preserve">available at: </t>
    </r>
    <r>
      <rPr>
        <u/>
        <sz val="11"/>
        <color theme="10"/>
        <rFont val="Aptos Narrow"/>
        <family val="2"/>
        <scheme val="minor"/>
      </rPr>
      <t>https://www.shell.com/business-customers/chemicals/our-products/solvents-hydrocarbon/special-boiling-point-solvents/sbp-140-165.html.</t>
    </r>
  </si>
  <si>
    <t>https://xbrl.efrag.org/taxonomy/vsme/2024-12-17/vsme-all.xsd</t>
  </si>
  <si>
    <t>Overall Validation Status</t>
  </si>
  <si>
    <t>Table of Contents</t>
  </si>
  <si>
    <t>Contents grouping follows template's framework</t>
  </si>
  <si>
    <t>Specific Content Validation Status</t>
  </si>
  <si>
    <t>General Information</t>
  </si>
  <si>
    <t>Environmental Disclosures</t>
  </si>
  <si>
    <t>Social Disclosures</t>
  </si>
  <si>
    <t>Governance Disclosures</t>
  </si>
  <si>
    <t>· B5 - Biodiversity</t>
  </si>
  <si>
    <t>Mass/Volume</t>
  </si>
  <si>
    <t>Mass and Volume</t>
  </si>
  <si>
    <t>1. In cell B10 select the Fuel used, searching for it or scrolling down the list displayed clicking the cell</t>
  </si>
  <si>
    <t>2. In cell B16 select the Unit of measurement used</t>
  </si>
  <si>
    <t>3. In cell B17 select the Amount of fuel used</t>
  </si>
  <si>
    <t xml:space="preserve">5. In cell A32 is displayed the Total Renewable Energy in Mega Watt hours </t>
  </si>
  <si>
    <t>The converter offers the possibility of calculating simultaneously up to 10 different types of fuel. To do this please expand the hidden columns using the plus icon on the top of the document.
Each expanded fuel converter works exactly as explained above.
It’s important to note that the automatic calculation performed by the Fuel Converter is done using NCVs and Densities that are typical for that specific type of fuel. If the undertaking is able to provide the specific NCVs and Densities of the Fuels used, there is the possibility to calculate the Energy Consumption per Hour in MWh embedding the specific values in the formulas that are automatized in the Fuel Converter sheet.
Below there are the formulas, just in case the solution of a not-automatized calculation using specific values is preferred to the one of the Converter. If you need to convert the Unit of Measurement of your specific measures, please use the Unit of Measurement Converter.</t>
  </si>
  <si>
    <t>Further notes:</t>
  </si>
  <si>
    <t>Usage of Fuel Converter:</t>
  </si>
  <si>
    <t>Effective participation of workers, users or other interested parties or communities in governance</t>
  </si>
  <si>
    <t>Financial investment in the capital or assets of social economy entities referred to in the Council Recommendation of 29 September 2023 (excluding donations and contributions)</t>
  </si>
  <si>
    <t>Any limits to the distribution of profits connected to the mutualistic nature or to the nature of the activities consisting in services of general economic interest (SGEI)</t>
  </si>
  <si>
    <t>· B2 - Practices, policies and future initiatives for transitioning towards a more sustainable economy</t>
  </si>
  <si>
    <r>
      <rPr>
        <sz val="11"/>
        <rFont val="Aptos Narrow"/>
        <family val="2"/>
        <scheme val="minor"/>
      </rPr>
      <t xml:space="preserve">7. </t>
    </r>
    <r>
      <rPr>
        <b/>
        <i/>
        <u/>
        <sz val="11"/>
        <color theme="10"/>
        <rFont val="Aptos Narrow"/>
        <family val="2"/>
        <scheme val="minor"/>
      </rPr>
      <t>Further notes</t>
    </r>
    <r>
      <rPr>
        <sz val="11"/>
        <rFont val="Aptos Narrow"/>
        <family val="2"/>
        <scheme val="minor"/>
      </rPr>
      <t xml:space="preserve"> can be found below</t>
    </r>
  </si>
  <si>
    <t>Source</t>
  </si>
  <si>
    <t>Days</t>
  </si>
  <si>
    <t>Is the undertaking disclosing entity-specific information on Scope 3 emissions (in tCO2e)?</t>
  </si>
  <si>
    <t>Identifier (context identifier scheme)</t>
  </si>
  <si>
    <t>LEI</t>
  </si>
  <si>
    <t>DUNS</t>
  </si>
  <si>
    <t>EU ID</t>
  </si>
  <si>
    <t>PermID</t>
  </si>
  <si>
    <t>Identifier of the reporting entity (select and specify on the right)</t>
  </si>
  <si>
    <t>3. For open tables like the List of subsidiers/sites, please expand the groups by clicking the plus [+] icon on the left side. If more rows are needed, they can be added by inserting them between the first and last row. The row IDs in open tables must remain unique per table.</t>
  </si>
  <si>
    <t>· Information on the report necessary for  XBRL</t>
  </si>
  <si>
    <t>· Information on previous reporting period</t>
  </si>
  <si>
    <t>· B1 - Basis for Preparation</t>
  </si>
  <si>
    <r>
      <rPr>
        <sz val="11"/>
        <color theme="10"/>
        <rFont val="Aptos Narrow"/>
        <family val="2"/>
        <scheme val="minor"/>
      </rPr>
      <t xml:space="preserve">            </t>
    </r>
    <r>
      <rPr>
        <u/>
        <sz val="11"/>
        <color theme="10"/>
        <rFont val="Aptos Narrow"/>
        <family val="2"/>
        <scheme val="minor"/>
      </rPr>
      <t>Basis for Preparation and other undertaking's general information</t>
    </r>
  </si>
  <si>
    <r>
      <rPr>
        <sz val="11"/>
        <color theme="10"/>
        <rFont val="Aptos Narrow"/>
        <family val="2"/>
        <scheme val="minor"/>
      </rPr>
      <t xml:space="preserve">             </t>
    </r>
    <r>
      <rPr>
        <u/>
        <sz val="11"/>
        <color theme="10"/>
        <rFont val="Aptos Narrow"/>
        <family val="2"/>
        <scheme val="minor"/>
      </rPr>
      <t>List of subsidiaries</t>
    </r>
  </si>
  <si>
    <r>
      <rPr>
        <sz val="11"/>
        <color theme="10"/>
        <rFont val="Aptos Narrow"/>
        <family val="2"/>
        <scheme val="minor"/>
      </rPr>
      <t xml:space="preserve">             </t>
    </r>
    <r>
      <rPr>
        <u/>
        <sz val="11"/>
        <color theme="10"/>
        <rFont val="Aptos Narrow"/>
        <family val="2"/>
        <scheme val="minor"/>
      </rPr>
      <t>Disclosure of sustainability-related certification(s) or label(s)</t>
    </r>
  </si>
  <si>
    <r>
      <rPr>
        <sz val="11"/>
        <color theme="10"/>
        <rFont val="Aptos Narrow"/>
        <family val="2"/>
        <scheme val="minor"/>
      </rPr>
      <t xml:space="preserve">             </t>
    </r>
    <r>
      <rPr>
        <u/>
        <sz val="11"/>
        <color theme="10"/>
        <rFont val="Aptos Narrow"/>
        <family val="2"/>
        <scheme val="minor"/>
      </rPr>
      <t>List of site(s)</t>
    </r>
  </si>
  <si>
    <t>· C1 - Strategy: Business Model and Sustainability – Related Initiatives</t>
  </si>
  <si>
    <t>· C2 - Description of practices, policies and future initiatives for transitioning towards a more sustainable economy</t>
  </si>
  <si>
    <t>· Disclosure of any other general and/or entity specific information on the reporting period</t>
  </si>
  <si>
    <t>· B3 - Energy and greenhouse gas emissions</t>
  </si>
  <si>
    <t>· B4 - Pollution of air, water and soil</t>
  </si>
  <si>
    <t>· B6 - Water</t>
  </si>
  <si>
    <t>· B7 - Resource use, circular economy and waste management</t>
  </si>
  <si>
    <r>
      <rPr>
        <sz val="11"/>
        <color theme="10"/>
        <rFont val="Aptos Narrow"/>
        <family val="2"/>
        <scheme val="minor"/>
      </rPr>
      <t xml:space="preserve">               </t>
    </r>
    <r>
      <rPr>
        <u/>
        <sz val="11"/>
        <color theme="10"/>
        <rFont val="Aptos Narrow"/>
        <family val="2"/>
        <scheme val="minor"/>
      </rPr>
      <t>Description of circular economy principles</t>
    </r>
  </si>
  <si>
    <r>
      <rPr>
        <sz val="11"/>
        <color theme="10"/>
        <rFont val="Aptos Narrow"/>
        <family val="2"/>
        <scheme val="minor"/>
      </rPr>
      <t xml:space="preserve">               </t>
    </r>
    <r>
      <rPr>
        <u/>
        <sz val="11"/>
        <color theme="10"/>
        <rFont val="Aptos Narrow"/>
        <family val="2"/>
        <scheme val="minor"/>
      </rPr>
      <t>Waste generated</t>
    </r>
  </si>
  <si>
    <r>
      <rPr>
        <sz val="11"/>
        <color theme="10"/>
        <rFont val="Aptos Narrow"/>
        <family val="2"/>
        <scheme val="minor"/>
      </rPr>
      <t xml:space="preserve">               </t>
    </r>
    <r>
      <rPr>
        <u/>
        <sz val="11"/>
        <color theme="10"/>
        <rFont val="Aptos Narrow"/>
        <family val="2"/>
        <scheme val="minor"/>
      </rPr>
      <t>Annual mass-flow of relevant materials used</t>
    </r>
  </si>
  <si>
    <t>· C3 - GHG reduction targets and climate transition</t>
  </si>
  <si>
    <r>
      <rPr>
        <sz val="11"/>
        <color theme="10"/>
        <rFont val="Aptos Narrow"/>
        <family val="2"/>
        <scheme val="minor"/>
      </rPr>
      <t xml:space="preserve">              </t>
    </r>
    <r>
      <rPr>
        <u/>
        <sz val="11"/>
        <color theme="10"/>
        <rFont val="Aptos Narrow"/>
        <family val="2"/>
        <scheme val="minor"/>
      </rPr>
      <t>GHG reduction targets (in tC02e)</t>
    </r>
  </si>
  <si>
    <r>
      <rPr>
        <sz val="11"/>
        <color theme="10"/>
        <rFont val="Aptos Narrow"/>
        <family val="2"/>
        <scheme val="minor"/>
      </rPr>
      <t xml:space="preserve">              </t>
    </r>
    <r>
      <rPr>
        <u/>
        <sz val="11"/>
        <color theme="10"/>
        <rFont val="Aptos Narrow"/>
        <family val="2"/>
        <scheme val="minor"/>
      </rPr>
      <t>Disclosure of list of main actions the entity seeks in order  to achieve its targets</t>
    </r>
  </si>
  <si>
    <r>
      <rPr>
        <sz val="11"/>
        <color theme="10"/>
        <rFont val="Aptos Narrow"/>
        <family val="2"/>
        <scheme val="minor"/>
      </rPr>
      <t xml:space="preserve">              </t>
    </r>
    <r>
      <rPr>
        <u/>
        <sz val="11"/>
        <color theme="10"/>
        <rFont val="Aptos Narrow"/>
        <family val="2"/>
        <scheme val="minor"/>
      </rPr>
      <t>Transition plan for undertakings operating in high climate impact sectors</t>
    </r>
  </si>
  <si>
    <t>· C4 - Climate risks</t>
  </si>
  <si>
    <t>· Disclosure of any other environmental and/or entity specific enviromental disclosures</t>
  </si>
  <si>
    <t>· B8 - Workforce - General characteristics</t>
  </si>
  <si>
    <r>
      <rPr>
        <sz val="11"/>
        <color theme="10"/>
        <rFont val="Aptos Narrow"/>
        <family val="2"/>
        <scheme val="minor"/>
      </rPr>
      <t xml:space="preserve">              </t>
    </r>
    <r>
      <rPr>
        <u/>
        <sz val="11"/>
        <color theme="10"/>
        <rFont val="Aptos Narrow"/>
        <family val="2"/>
        <scheme val="minor"/>
      </rPr>
      <t>Type of contract</t>
    </r>
  </si>
  <si>
    <r>
      <rPr>
        <sz val="11"/>
        <color theme="10"/>
        <rFont val="Aptos Narrow"/>
        <family val="2"/>
        <scheme val="minor"/>
      </rPr>
      <t xml:space="preserve">              </t>
    </r>
    <r>
      <rPr>
        <u/>
        <sz val="11"/>
        <color theme="10"/>
        <rFont val="Aptos Narrow"/>
        <family val="2"/>
        <scheme val="minor"/>
      </rPr>
      <t>Gender</t>
    </r>
  </si>
  <si>
    <t>· B9 - Workforce – Health and safety</t>
  </si>
  <si>
    <r>
      <rPr>
        <sz val="11"/>
        <color theme="10"/>
        <rFont val="Aptos Narrow"/>
        <family val="2"/>
        <scheme val="minor"/>
      </rPr>
      <t xml:space="preserve">              </t>
    </r>
    <r>
      <rPr>
        <u/>
        <sz val="11"/>
        <color theme="10"/>
        <rFont val="Aptos Narrow"/>
        <family val="2"/>
        <scheme val="minor"/>
      </rPr>
      <t>Country of employment</t>
    </r>
  </si>
  <si>
    <r>
      <rPr>
        <sz val="11"/>
        <color theme="10"/>
        <rFont val="Aptos Narrow"/>
        <family val="2"/>
        <scheme val="minor"/>
      </rPr>
      <t xml:space="preserve">              </t>
    </r>
    <r>
      <rPr>
        <u/>
        <sz val="11"/>
        <color theme="10"/>
        <rFont val="Aptos Narrow"/>
        <family val="2"/>
        <scheme val="minor"/>
      </rPr>
      <t>Turnover rate</t>
    </r>
  </si>
  <si>
    <t xml:space="preserve">· B10 - Workforce – Remuneration, collective bargaining and training </t>
  </si>
  <si>
    <t>· C5 - Additional (general) workforce characteristics</t>
  </si>
  <si>
    <t>· C6 - Additional own workforce information - Human rights policies and processes</t>
  </si>
  <si>
    <t>· C7 - Severe negative human rights incidents</t>
  </si>
  <si>
    <t>· Disclosure of any other social and/or entity specific social disclosures</t>
  </si>
  <si>
    <t>· B11 - Convictions and fines for corruption and bribery</t>
  </si>
  <si>
    <t>· C8 - Revenues from certain sectors and exclusion from EU reference benchmarks</t>
  </si>
  <si>
    <r>
      <rPr>
        <sz val="11"/>
        <color theme="10"/>
        <rFont val="Aptos Narrow"/>
        <family val="2"/>
        <scheme val="minor"/>
      </rPr>
      <t xml:space="preserve">              </t>
    </r>
    <r>
      <rPr>
        <u/>
        <sz val="11"/>
        <color theme="10"/>
        <rFont val="Aptos Narrow"/>
        <family val="2"/>
        <scheme val="minor"/>
      </rPr>
      <t>Revenues from certain sectors</t>
    </r>
  </si>
  <si>
    <r>
      <rPr>
        <sz val="11"/>
        <color theme="10"/>
        <rFont val="Aptos Narrow"/>
        <family val="2"/>
        <scheme val="minor"/>
      </rPr>
      <t xml:space="preserve">              </t>
    </r>
    <r>
      <rPr>
        <u/>
        <sz val="11"/>
        <color theme="10"/>
        <rFont val="Aptos Narrow"/>
        <family val="2"/>
        <scheme val="minor"/>
      </rPr>
      <t>Exclusion from EU reference benchmarks</t>
    </r>
  </si>
  <si>
    <t>· C9 - Gender diversity ratio in the governance body</t>
  </si>
  <si>
    <t>· Disclosure of any other governance and/or entity specific governance disclosures</t>
  </si>
  <si>
    <t>MIT License</t>
  </si>
  <si>
    <t>Copyright (c) 2025 EFRAG</t>
  </si>
  <si>
    <t>Permission is hereby granted, free of charge, to any person obtaining a copy</t>
  </si>
  <si>
    <t>of this software and associated documentation files (the "Software"), to deal</t>
  </si>
  <si>
    <t>in the Software without restriction, including without limitation the rights</t>
  </si>
  <si>
    <t>to use, copy, modify, merge, publish, distribute, sublicense, and/or sell</t>
  </si>
  <si>
    <t>copies of the Software, and to permit persons to whom the Software is</t>
  </si>
  <si>
    <t>furnished to do so, subject to the following conditions:</t>
  </si>
  <si>
    <t>The above copyright notice and this permission notice shall be included in all</t>
  </si>
  <si>
    <t>copies or substantial portions of the Software.</t>
  </si>
  <si>
    <t>THE SOFTWARE IS PROVIDED "AS IS", WITHOUT WARRANTY OF ANY KIND, EXPRESS OR</t>
  </si>
  <si>
    <t>IMPLIED, INCLUDING BUT NOT LIMITED TO THE WARRANTIES OF MERCHANTABILITY,</t>
  </si>
  <si>
    <t>FITNESS FOR A PARTICULAR PURPOSE AND NONINFRINGEMENT. IN NO EVENT SHALL THE</t>
  </si>
  <si>
    <t>AUTHORS OR COPYRIGHT HOLDERS BE LIABLE FOR ANY CLAIM, DAMAGES OR OTHER</t>
  </si>
  <si>
    <t>LIABILITY, WHETHER IN AN ACTION OF CONTRACT, TORT OR OTHERWISE, ARISING FROM,</t>
  </si>
  <si>
    <t>OUT OF OR IN CONNECTION WITH THE SOFTWARE OR THE USE OR OTHER DEALINGS IN THE</t>
  </si>
  <si>
    <t>SOFTWARE.</t>
  </si>
  <si>
    <t>Additional Disclosures</t>
  </si>
  <si>
    <r>
      <rPr>
        <sz val="11"/>
        <color theme="10"/>
        <rFont val="Aptos Narrow"/>
        <family val="2"/>
        <scheme val="minor"/>
      </rPr>
      <t xml:space="preserve">            </t>
    </r>
    <r>
      <rPr>
        <u/>
        <sz val="11"/>
        <color theme="10"/>
        <rFont val="Aptos Narrow"/>
        <family val="2"/>
        <scheme val="minor"/>
      </rPr>
      <t>Practices, policies and future initiatives for transitioning towards a more sustainable economy</t>
    </r>
  </si>
  <si>
    <r>
      <rPr>
        <sz val="11"/>
        <color theme="10"/>
        <rFont val="Aptos Narrow"/>
        <family val="2"/>
        <scheme val="minor"/>
      </rPr>
      <t xml:space="preserve">            </t>
    </r>
    <r>
      <rPr>
        <u/>
        <sz val="11"/>
        <color theme="10"/>
        <rFont val="Aptos Narrow"/>
        <family val="2"/>
        <scheme val="minor"/>
      </rPr>
      <t>Cooperative specific disclosures</t>
    </r>
  </si>
  <si>
    <r>
      <rPr>
        <sz val="11"/>
        <color theme="10"/>
        <rFont val="Aptos Narrow"/>
        <family val="2"/>
        <scheme val="minor"/>
      </rPr>
      <t xml:space="preserve">             </t>
    </r>
    <r>
      <rPr>
        <u/>
        <sz val="11"/>
        <color theme="10"/>
        <rFont val="Aptos Narrow"/>
        <family val="2"/>
        <scheme val="minor"/>
      </rPr>
      <t>Total Energy Consumption (in MWh)</t>
    </r>
  </si>
  <si>
    <r>
      <rPr>
        <sz val="11"/>
        <color theme="10"/>
        <rFont val="Aptos Narrow"/>
        <family val="2"/>
        <scheme val="minor"/>
      </rPr>
      <t xml:space="preserve">             </t>
    </r>
    <r>
      <rPr>
        <u/>
        <sz val="11"/>
        <color theme="10"/>
        <rFont val="Aptos Narrow"/>
        <family val="2"/>
        <scheme val="minor"/>
      </rPr>
      <t>Breakdown of energy consumption (in MWh)</t>
    </r>
  </si>
  <si>
    <r>
      <rPr>
        <sz val="11"/>
        <color theme="10"/>
        <rFont val="Aptos Narrow"/>
        <family val="2"/>
        <scheme val="minor"/>
      </rPr>
      <t xml:space="preserve">             </t>
    </r>
    <r>
      <rPr>
        <u/>
        <sz val="11"/>
        <color theme="10"/>
        <rFont val="Aptos Narrow"/>
        <family val="2"/>
        <scheme val="minor"/>
      </rPr>
      <t>Estimated Greenhouse Gas Emissions considering the GHG Protocol Version 2004 (in tCO2e)</t>
    </r>
  </si>
  <si>
    <r>
      <rPr>
        <sz val="11"/>
        <color theme="10"/>
        <rFont val="Aptos Narrow"/>
        <family val="2"/>
        <scheme val="minor"/>
      </rPr>
      <t xml:space="preserve">             </t>
    </r>
    <r>
      <rPr>
        <u/>
        <sz val="11"/>
        <color theme="10"/>
        <rFont val="Aptos Narrow"/>
        <family val="2"/>
        <scheme val="minor"/>
      </rPr>
      <t>Greenhouse gas emission intensity per turnover</t>
    </r>
  </si>
  <si>
    <r>
      <rPr>
        <sz val="11"/>
        <color theme="10"/>
        <rFont val="Aptos Narrow"/>
        <family val="2"/>
        <scheme val="minor"/>
      </rPr>
      <t xml:space="preserve">            </t>
    </r>
    <r>
      <rPr>
        <u/>
        <sz val="11"/>
        <color theme="10"/>
        <rFont val="Aptos Narrow"/>
        <family val="2"/>
        <scheme val="minor"/>
      </rPr>
      <t>Sites in biodiversity sensitive areas</t>
    </r>
  </si>
  <si>
    <r>
      <rPr>
        <sz val="11"/>
        <color theme="10"/>
        <rFont val="Aptos Narrow"/>
        <family val="2"/>
        <scheme val="minor"/>
      </rPr>
      <t xml:space="preserve">            </t>
    </r>
    <r>
      <rPr>
        <u/>
        <sz val="11"/>
        <color theme="10"/>
        <rFont val="Aptos Narrow"/>
        <family val="2"/>
        <scheme val="minor"/>
      </rPr>
      <t>Biodiversity - Land-use</t>
    </r>
  </si>
  <si>
    <r>
      <rPr>
        <sz val="11"/>
        <color theme="10"/>
        <rFont val="Aptos Narrow"/>
        <family val="2"/>
        <scheme val="minor"/>
      </rPr>
      <t xml:space="preserve">             </t>
    </r>
    <r>
      <rPr>
        <u/>
        <sz val="11"/>
        <color theme="10"/>
        <rFont val="Aptos Narrow"/>
        <family val="2"/>
        <scheme val="minor"/>
      </rPr>
      <t>Water Withdrawal</t>
    </r>
  </si>
  <si>
    <r>
      <rPr>
        <sz val="11"/>
        <color theme="10"/>
        <rFont val="Aptos Narrow"/>
        <family val="2"/>
        <scheme val="minor"/>
      </rPr>
      <t xml:space="preserve">             </t>
    </r>
    <r>
      <rPr>
        <u/>
        <sz val="11"/>
        <color theme="10"/>
        <rFont val="Aptos Narrow"/>
        <family val="2"/>
        <scheme val="minor"/>
      </rPr>
      <t>Water Consumption</t>
    </r>
  </si>
  <si>
    <t>VSME Digital Template</t>
  </si>
  <si>
    <t>1. Fill in the disclosures on the four worksheets (General Information, Environmental Disclosures, Social Disclosures, Governance Disclosures) in the white cells framed by a black border. Do not enter information outside of those cells. 
Searching in drop-downs can be done by typing into the cell. Hints (input messages) are shown in several cells when selecting them.</t>
  </si>
  <si>
    <r>
      <rPr>
        <b/>
        <sz val="16"/>
        <color theme="1"/>
        <rFont val="Aptos Narrow"/>
        <family val="2"/>
        <scheme val="minor"/>
      </rPr>
      <t xml:space="preserve">The purpose of this digital template is to illustrate how VSME reporting can be implemented in a digital template. The template reflects the </t>
    </r>
    <r>
      <rPr>
        <b/>
        <u/>
        <sz val="16"/>
        <color theme="7" tint="-0.249977111117893"/>
        <rFont val="Aptos Narrow"/>
        <family val="2"/>
        <scheme val="minor"/>
      </rPr>
      <t>VSME Standard</t>
    </r>
    <r>
      <rPr>
        <b/>
        <sz val="16"/>
        <color theme="1"/>
        <rFont val="Aptos Narrow"/>
        <family val="2"/>
        <scheme val="minor"/>
      </rPr>
      <t xml:space="preserve"> as delivered by EFRAG to the European Commission on 17 December 2024. The template is accompanied by a digital VSME XBRL taxonomy, which represents the digital data model of the disclosures and is available on EFRAG's website.</t>
    </r>
    <r>
      <rPr>
        <sz val="16"/>
        <color theme="1"/>
        <rFont val="Aptos Narrow"/>
        <family val="2"/>
        <scheme val="minor"/>
      </rPr>
      <t xml:space="preserve"> The VSME requires disclosure of comparative information on metrics (paragraph 12). This template enables reporting for one reporting period only. Therefore, it might be used for reporting in the first year only. It is expected that reporting solutions will enable the roll-forward of reporting periods, which would automatically provide the necessary comparative information.
</t>
    </r>
    <r>
      <rPr>
        <b/>
        <sz val="16"/>
        <color theme="1"/>
        <rFont val="Aptos Narrow"/>
        <family val="2"/>
        <scheme val="minor"/>
      </rPr>
      <t>This template can be used for data entry and validation. By using an XBRL Converter on EFRAG's website, it can be saved as an XBRL report, in a free and open data format. Excel-named ranges are used to extract the disclosures. Value cells that are empty and do not have any value (neither text nor a number) will not be considered as reported and will not be included in the XBRL report when using the Excel-to-XBRL converter.</t>
    </r>
    <r>
      <rPr>
        <sz val="16"/>
        <color theme="1"/>
        <rFont val="Aptos Narrow"/>
        <family val="2"/>
        <scheme val="minor"/>
      </rPr>
      <t xml:space="preserve">
A few drop-down selection menus in the VSME have more than 100 entries (e.g. the NACE codes under B1, the list of pollutants under B4, the list of wastes under B7). In order to search in the list, users can simply start typing search keywords in the cell.
</t>
    </r>
    <r>
      <rPr>
        <b/>
        <sz val="16"/>
        <color theme="1"/>
        <rFont val="Aptos Narrow"/>
        <family val="2"/>
        <scheme val="minor"/>
      </rPr>
      <t xml:space="preserve">If a security warning is shown, please "Enable Content" in order to allow automatic calculation of GPS coordinates for the list of sites under B1. No content other than the address entered will be sent to the internet and the contents shared with the provider can be found in the Nominatim Usage Policy (Geocoding Policy) and Privacy Policy.
All materials developed by the EFRAG Secretariat are released for free and as open source (MIT license), which will enable any stakeholder to further enhance them and integrate them into commercial solutions. However, respecting the license conditions, the reference to EFRAG must be mentioned by the providers of those commercial solutions. It's possible to consult the </t>
    </r>
    <r>
      <rPr>
        <b/>
        <u/>
        <sz val="16"/>
        <color theme="7" tint="-0.249977111117893"/>
        <rFont val="Aptos Narrow"/>
        <family val="2"/>
        <scheme val="minor"/>
      </rPr>
      <t>MIT Licence</t>
    </r>
    <r>
      <rPr>
        <b/>
        <sz val="16"/>
        <color theme="1"/>
        <rFont val="Aptos Narrow"/>
        <family val="2"/>
        <scheme val="minor"/>
      </rPr>
      <t xml:space="preserve"> in the specific sheet.</t>
    </r>
  </si>
  <si>
    <t>71-72</t>
  </si>
  <si>
    <t>24(e)(v)</t>
  </si>
  <si>
    <t>224-227</t>
  </si>
  <si>
    <t>38(a) and 38(b)</t>
  </si>
  <si>
    <t>62(c)</t>
  </si>
  <si>
    <t>Reference Paragraph</t>
  </si>
  <si>
    <t>Paragraph Guidance Reference</t>
  </si>
  <si>
    <t>Paragraph Reference</t>
  </si>
  <si>
    <t>24(a)</t>
  </si>
  <si>
    <t>24(b)</t>
  </si>
  <si>
    <t>24(c)</t>
  </si>
  <si>
    <t>24(e)(ii)</t>
  </si>
  <si>
    <t>69 - 70</t>
  </si>
  <si>
    <t>24(e)(iii)</t>
  </si>
  <si>
    <t>24(e)(iv)</t>
  </si>
  <si>
    <t xml:space="preserve"> 71-72</t>
  </si>
  <si>
    <t xml:space="preserve"> 73 -76</t>
  </si>
  <si>
    <t>24(e)(vi)</t>
  </si>
  <si>
    <t>24(d)</t>
  </si>
  <si>
    <t>24(e)(vii)</t>
  </si>
  <si>
    <t>26-28</t>
  </si>
  <si>
    <t>78-80</t>
  </si>
  <si>
    <t>47(a)</t>
  </si>
  <si>
    <t>47(b)</t>
  </si>
  <si>
    <t>47(c)</t>
  </si>
  <si>
    <t>47(d)</t>
  </si>
  <si>
    <t>82-89</t>
  </si>
  <si>
    <t>90-109</t>
  </si>
  <si>
    <t>54(b)</t>
  </si>
  <si>
    <t>216-222</t>
  </si>
  <si>
    <t>54(a)</t>
  </si>
  <si>
    <t xml:space="preserve">54(d) </t>
  </si>
  <si>
    <t>50-53</t>
  </si>
  <si>
    <t>214-215</t>
  </si>
  <si>
    <t>54(e)</t>
  </si>
  <si>
    <t>110-133</t>
  </si>
  <si>
    <t>134-137</t>
  </si>
  <si>
    <t>138-141</t>
  </si>
  <si>
    <t>156-158</t>
  </si>
  <si>
    <t>142-155</t>
  </si>
  <si>
    <t>160-172</t>
  </si>
  <si>
    <t>38(c)</t>
  </si>
  <si>
    <t>173-174</t>
  </si>
  <si>
    <t>57(a)</t>
  </si>
  <si>
    <t>57(b)</t>
  </si>
  <si>
    <t>57(c)</t>
  </si>
  <si>
    <t>57(d)</t>
  </si>
  <si>
    <t>228-230</t>
  </si>
  <si>
    <t>39(a)</t>
  </si>
  <si>
    <t>175-182</t>
  </si>
  <si>
    <t>39(b)</t>
  </si>
  <si>
    <t>39(c)</t>
  </si>
  <si>
    <t>41(a)</t>
  </si>
  <si>
    <t>41(b)</t>
  </si>
  <si>
    <t>184-191</t>
  </si>
  <si>
    <t>42(a)</t>
  </si>
  <si>
    <t>42(b)</t>
  </si>
  <si>
    <t>42(c)</t>
  </si>
  <si>
    <t>192-193</t>
  </si>
  <si>
    <t>194-201</t>
  </si>
  <si>
    <t>202-205</t>
  </si>
  <si>
    <t>42(d)</t>
  </si>
  <si>
    <t>231-233</t>
  </si>
  <si>
    <t>234-236</t>
  </si>
  <si>
    <t>61(a)</t>
  </si>
  <si>
    <t>61(b)</t>
  </si>
  <si>
    <t>61(c)</t>
  </si>
  <si>
    <t>62(a)</t>
  </si>
  <si>
    <t>62(b)</t>
  </si>
  <si>
    <t>206-209</t>
  </si>
  <si>
    <t>63(a)</t>
  </si>
  <si>
    <t>63(b)</t>
  </si>
  <si>
    <t>63(c)</t>
  </si>
  <si>
    <t>63(d)</t>
  </si>
  <si>
    <t>239-241</t>
  </si>
  <si>
    <t>241(a)</t>
  </si>
  <si>
    <t>241(b)</t>
  </si>
  <si>
    <t>241(c)</t>
  </si>
  <si>
    <t>241(d)</t>
  </si>
  <si>
    <t>242-244</t>
  </si>
  <si>
    <t>2. Find more information on the actual disclosure requirements in the VSME Standard and the related guidance linked to each cell. Additional or entity-specific disclosures can be provided in each text box at the end of each worksheet.</t>
  </si>
  <si>
    <t>Indicates that the cell is automatically calculated and that no data entry is required.</t>
  </si>
  <si>
    <t>Validation MISSING VALUE/ERROR/VALUE INCONSISTENCY/INVALID URL</t>
  </si>
  <si>
    <t>Does the undertaking have production processes in place which significantly consume water (e.g. thermal energy processes like drying or power production, production of goods, agricultural irrigation, etc.)?</t>
  </si>
  <si>
    <t>Indicates that the cell should be filled either by selecting a value from the dropdown (e.g. Type of fuel or Unit of Measurement) or by entering an amount.</t>
  </si>
  <si>
    <t xml:space="preserve">If the undertaking wishes to do multiple Fuel conversions it may do so using the plus [+] button on the top. </t>
  </si>
  <si>
    <t>4. In cell A22 is displayed the Energy produced in Mega Watt hours by the Amount of Fuel specified</t>
  </si>
  <si>
    <t xml:space="preserve">6. In cell B32 is displayed the Total Non-renewable Energy in Mega Watt hours </t>
  </si>
  <si>
    <t>Day</t>
  </si>
  <si>
    <r>
      <rPr>
        <sz val="11"/>
        <rFont val="Aptos Narrow"/>
        <family val="2"/>
        <scheme val="minor"/>
      </rPr>
      <t xml:space="preserve">Fuels (see </t>
    </r>
    <r>
      <rPr>
        <u/>
        <sz val="11"/>
        <color theme="10"/>
        <rFont val="Aptos Narrow"/>
        <family val="2"/>
        <scheme val="minor"/>
      </rPr>
      <t>Fuel Converter on Fuels worksheet)</t>
    </r>
  </si>
  <si>
    <r>
      <t>Pollutants</t>
    </r>
    <r>
      <rPr>
        <sz val="11"/>
        <color theme="1"/>
        <rFont val="Aptos Narrow"/>
        <family val="2"/>
        <scheme val="minor"/>
      </rPr>
      <t xml:space="preserve"> (Regulation (EU) 2024/1244 of the European Parliament and of the Council of 24 April 2024 on reporting of environmental data from industrial installations, establishing an Industrial Emissions Portal and repealing Regulation (EC) No 166/2006)</t>
    </r>
  </si>
  <si>
    <r>
      <t xml:space="preserve">Types of  Wastes </t>
    </r>
    <r>
      <rPr>
        <sz val="11"/>
        <color theme="1"/>
        <rFont val="Aptos Narrow"/>
        <family val="2"/>
        <scheme val="minor"/>
      </rPr>
      <t>(Commission Decision of 3 May 2000 replacing Decision 94/3/EC establishing a list of wastes pursuant to Article 1(a) of Council Directive 75/442/EEC on waste and Council Decision 94/904/EC establishing a list of hazardous waste pursuant to Article 1(4) of Council Directive 91/689/EEC on hazardous waste (notified under document number C(2000) 1147) (Text with EEA relevance))</t>
    </r>
  </si>
  <si>
    <t>1.0.1</t>
  </si>
  <si>
    <t>Has the undertaking put in place specific practices, policies and/or future initiatives for transitioning towards a more sustainable economy?</t>
  </si>
  <si>
    <t>Description of a practice, policy and/or future initiatve towards a more sustainable future (In case the practice/ policy/ future initiative covers suppliers or clients, the undertaking shall mention it)</t>
  </si>
  <si>
    <t>AED</t>
  </si>
  <si>
    <t>AFN</t>
  </si>
  <si>
    <t>ALL</t>
  </si>
  <si>
    <t>AMD</t>
  </si>
  <si>
    <t>ANG</t>
  </si>
  <si>
    <t>AOA</t>
  </si>
  <si>
    <t>ARS</t>
  </si>
  <si>
    <t>AUD</t>
  </si>
  <si>
    <t>AWG</t>
  </si>
  <si>
    <t>AZN</t>
  </si>
  <si>
    <t>BAM</t>
  </si>
  <si>
    <t>BBD</t>
  </si>
  <si>
    <t>BDT</t>
  </si>
  <si>
    <t>BGN</t>
  </si>
  <si>
    <t>BHD</t>
  </si>
  <si>
    <t>BIF</t>
  </si>
  <si>
    <t>BMD</t>
  </si>
  <si>
    <t>BND</t>
  </si>
  <si>
    <t>BOB</t>
  </si>
  <si>
    <t>BOV</t>
  </si>
  <si>
    <t>BRL</t>
  </si>
  <si>
    <t>BSD</t>
  </si>
  <si>
    <t>BTN</t>
  </si>
  <si>
    <t>BWP</t>
  </si>
  <si>
    <t>BZD</t>
  </si>
  <si>
    <t>CAD</t>
  </si>
  <si>
    <t>CDF</t>
  </si>
  <si>
    <t>CHE</t>
  </si>
  <si>
    <t>CHF</t>
  </si>
  <si>
    <t>CHW</t>
  </si>
  <si>
    <t>CLF</t>
  </si>
  <si>
    <t>CLP</t>
  </si>
  <si>
    <t>CNY</t>
  </si>
  <si>
    <t>COP</t>
  </si>
  <si>
    <t>COU</t>
  </si>
  <si>
    <t>CRC</t>
  </si>
  <si>
    <t>CUC</t>
  </si>
  <si>
    <t>CUP</t>
  </si>
  <si>
    <t>CVE</t>
  </si>
  <si>
    <t>CZK</t>
  </si>
  <si>
    <t>DJF</t>
  </si>
  <si>
    <t>DKK</t>
  </si>
  <si>
    <t>DOP</t>
  </si>
  <si>
    <t>DZD</t>
  </si>
  <si>
    <t>EGP</t>
  </si>
  <si>
    <t>ERN</t>
  </si>
  <si>
    <t>ETB</t>
  </si>
  <si>
    <t>EUR</t>
  </si>
  <si>
    <t>FJD</t>
  </si>
  <si>
    <t>FKP</t>
  </si>
  <si>
    <t>GBP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</si>
  <si>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</si>
  <si>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</si>
  <si>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</si>
  <si>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</si>
  <si>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</si>
  <si>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</si>
  <si>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</si>
  <si>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</si>
  <si>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</si>
  <si>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</si>
  <si>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</si>
  <si>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</si>
  <si>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</si>
  <si>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</si>
  <si>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</si>
  <si>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</si>
  <si>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</si>
  <si>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</si>
  <si>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</si>
  <si>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</si>
  <si>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</si>
  <si>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</si>
  <si>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</si>
  <si>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</si>
  <si>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</si>
  <si>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</si>
  <si>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</si>
  <si>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</si>
  <si>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</si>
  <si>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</si>
  <si>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</si>
  <si>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</si>
  <si>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</si>
  <si>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</si>
  <si>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</si>
  <si>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</si>
  <si>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</si>
  <si>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</si>
  <si>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</si>
  <si>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</si>
  <si>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</si>
  <si>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</si>
  <si>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</si>
  <si>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</si>
  <si>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</si>
  <si>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</si>
  <si>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</si>
  <si>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</si>
  <si>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MXV</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</si>
  <si>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</si>
  <si>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</si>
  <si>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</si>
  <si>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</si>
  <si>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</si>
  <si>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</si>
  <si>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</si>
  <si>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</si>
  <si>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</si>
  <si>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</si>
  <si>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</si>
  <si>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</si>
  <si>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</si>
  <si>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</si>
  <si>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</si>
  <si>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</si>
  <si>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</si>
  <si>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</si>
  <si>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</si>
  <si>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</si>
  <si>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</si>
  <si>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</si>
  <si>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</si>
  <si>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</si>
  <si>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</si>
  <si>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</si>
  <si>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</si>
  <si>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</si>
  <si>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</si>
  <si>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</si>
  <si>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</si>
  <si>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</si>
  <si>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STD</t>
  </si>
  <si>
    <t>SVC</t>
  </si>
  <si>
    <t>SYP</t>
  </si>
  <si>
    <t>SZL</t>
  </si>
  <si>
    <t>THB</t>
  </si>
  <si>
    <t>TJS</t>
  </si>
  <si>
    <t>TMT</t>
  </si>
  <si>
    <t>TND</t>
  </si>
  <si>
    <t>TOP</t>
  </si>
  <si>
    <t>TRY</t>
  </si>
  <si>
    <t>TTD</t>
  </si>
  <si>
    <t>TWD</t>
  </si>
  <si>
    <t>TZS</t>
  </si>
  <si>
    <t>UAH</t>
  </si>
  <si>
    <t>UGX</t>
  </si>
  <si>
    <t>USD</t>
  </si>
  <si>
    <t>UYI</t>
  </si>
  <si>
    <t>UYU</t>
  </si>
  <si>
    <t>UZS</t>
  </si>
  <si>
    <t>VES</t>
  </si>
  <si>
    <t>VND</t>
  </si>
  <si>
    <t>VUV</t>
  </si>
  <si>
    <t>WST</t>
  </si>
  <si>
    <t>XAF</t>
  </si>
  <si>
    <t>XAG</t>
  </si>
  <si>
    <t>XAU</t>
  </si>
  <si>
    <t>XCD</t>
  </si>
  <si>
    <t>XDR</t>
  </si>
  <si>
    <t>XOF</t>
  </si>
  <si>
    <t>XPD</t>
  </si>
  <si>
    <t>XPF</t>
  </si>
  <si>
    <t>XPT</t>
  </si>
  <si>
    <t>XSU</t>
  </si>
  <si>
    <t>XUA</t>
  </si>
  <si>
    <t>YER</t>
  </si>
  <si>
    <t>ZAR</t>
  </si>
  <si>
    <t>ZMW</t>
  </si>
  <si>
    <t>24(e)(i)</t>
  </si>
  <si>
    <t>Elprog GmbH</t>
  </si>
  <si>
    <t>Option A (Basic Module only)</t>
  </si>
  <si>
    <t>Sustainability report prepared on an individual basis</t>
  </si>
  <si>
    <t>NACE C - 26.12 Manufacture of loaded electronic boards</t>
  </si>
  <si>
    <t>Mondscheinweg 10</t>
  </si>
  <si>
    <t>83671</t>
  </si>
  <si>
    <t>Benediktbeuern</t>
  </si>
  <si>
    <t>47.698821, 11.402623</t>
  </si>
  <si>
    <t>www.elprog.de/unternehmen/nachhaltigkeit-und-energieeffizienz/</t>
  </si>
  <si>
    <t>Full-time equivalent (FTE)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</si>
</sst>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
    <numFmt numFmtId="165" formatCode="0.0000"/>
    <numFmt numFmtId="166" formatCode="0.000000000"/>
    <numFmt numFmtId="167" formatCode="0.0000000000000000000"/>
    <numFmt numFmtId="168" formatCode="0.000000000000"/>
    <numFmt numFmtId="169" formatCode="0.000000000000000000000"/>
    <numFmt numFmtId="170" formatCode="0.0000000"/>
    <numFmt numFmtId="171" formatCode="0.0000000000000"/>
  </numFmts>
  <fonts count="42">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i/>
      <sz val="11"/>
      <color theme="1"/>
      <name val="Aptos Narrow"/>
      <family val="2"/>
      <scheme val="minor"/>
    </font>
    <font>
      <i/>
      <sz val="9"/>
      <color theme="1"/>
      <name val="Aptos Narrow"/>
      <family val="2"/>
      <scheme val="minor"/>
    </font>
    <font>
      <u/>
      <sz val="11"/>
      <color theme="10"/>
      <name val="Aptos Narrow"/>
      <family val="2"/>
      <scheme val="minor"/>
    </font>
    <font>
      <b/>
      <sz val="11"/>
      <name val="Aptos Narrow"/>
      <family val="2"/>
      <scheme val="minor"/>
    </font>
    <font>
      <b/>
      <sz val="11"/>
      <name val="Calibri"/>
      <family val="2"/>
    </font>
    <font>
      <sz val="11"/>
      <name val="Aptos Narrow"/>
      <family val="2"/>
      <scheme val="minor"/>
    </font>
    <font>
      <i/>
      <sz val="11"/>
      <name val="Aptos Narrow"/>
      <family val="2"/>
      <scheme val="minor"/>
    </font>
    <font>
      <u/>
      <sz val="11"/>
      <name val="Aptos Narrow"/>
      <family val="2"/>
      <scheme val="minor"/>
    </font>
    <font>
      <i/>
      <u/>
      <sz val="11"/>
      <name val="Aptos Narrow"/>
      <family val="2"/>
      <scheme val="minor"/>
    </font>
    <font>
      <sz val="11"/>
      <color theme="1"/>
      <name val="Aptos Narrow"/>
      <family val="2"/>
    </font>
    <font>
      <b/>
      <sz val="16"/>
      <color theme="1"/>
      <name val="Aptos Narrow"/>
      <family val="2"/>
    </font>
    <font>
      <sz val="48"/>
      <color theme="1"/>
      <name val="Aptos Narrow"/>
      <family val="2"/>
      <scheme val="minor"/>
    </font>
    <font>
      <sz val="10"/>
      <color theme="1"/>
      <name val="Aptos Narrow"/>
      <family val="2"/>
      <scheme val="minor"/>
    </font>
    <font>
      <sz val="11"/>
      <color rgb="FF1B1B1B"/>
      <name val="Aptos Narrow"/>
      <family val="2"/>
      <scheme val="minor"/>
    </font>
    <font>
      <sz val="14"/>
      <color theme="1"/>
      <name val="Aptos Narrow"/>
      <family val="2"/>
      <scheme val="minor"/>
    </font>
    <font>
      <sz val="16"/>
      <color theme="1"/>
      <name val="Aptos Narrow"/>
      <family val="2"/>
      <scheme val="minor"/>
    </font>
    <font>
      <b/>
      <sz val="11"/>
      <color theme="1"/>
      <name val="Aptos Narrow"/>
      <family val="2"/>
    </font>
    <font>
      <b/>
      <sz val="11"/>
      <color rgb="FFFF0000"/>
      <name val="Aptos Narrow"/>
      <family val="2"/>
      <scheme val="minor"/>
    </font>
    <font>
      <sz val="20"/>
      <color theme="1"/>
      <name val="Aptos Narrow"/>
      <family val="2"/>
      <scheme val="minor"/>
    </font>
    <font>
      <i/>
      <sz val="11"/>
      <color theme="1"/>
      <name val="Aptos Narrow"/>
      <family val="2"/>
    </font>
    <font>
      <b/>
      <i/>
      <sz val="11"/>
      <color theme="1"/>
      <name val="Aptos Narrow"/>
      <family val="2"/>
      <scheme val="minor"/>
    </font>
    <font>
      <i/>
      <sz val="10"/>
      <color theme="1"/>
      <name val="Aptos Narrow"/>
      <family val="2"/>
      <scheme val="minor"/>
    </font>
    <font>
      <b/>
      <sz val="11"/>
      <name val="Calibri"/>
      <family val="2"/>
    </font>
    <font>
      <b/>
      <sz val="16"/>
      <color theme="1"/>
      <name val="Aptos Narrow"/>
      <family val="2"/>
      <scheme val="minor"/>
    </font>
    <font>
      <u/>
      <sz val="16"/>
      <color theme="1"/>
      <name val="Aptos Narrow"/>
      <family val="2"/>
      <scheme val="minor"/>
    </font>
    <font>
      <b/>
      <sz val="12"/>
      <color rgb="FF242424"/>
      <name val="Aptos"/>
      <family val="2"/>
    </font>
    <font>
      <sz val="11"/>
      <name val="Calibri"/>
      <family val="2"/>
    </font>
    <font>
      <b/>
      <sz val="16"/>
      <color rgb="FF242424"/>
      <name val="Aptos"/>
      <family val="2"/>
    </font>
    <font>
      <b/>
      <u/>
      <sz val="11"/>
      <color rgb="FF0070C0"/>
      <name val="Aptos Narrow"/>
      <family val="2"/>
      <scheme val="minor"/>
    </font>
    <font>
      <sz val="16"/>
      <color rgb="FF242424"/>
      <name val="Aptos"/>
      <family val="2"/>
    </font>
    <font>
      <sz val="11"/>
      <color theme="10"/>
      <name val="Aptos Narrow"/>
      <family val="2"/>
      <scheme val="minor"/>
    </font>
    <font>
      <b/>
      <sz val="14"/>
      <color theme="1"/>
      <name val="Aptos Narrow"/>
      <family val="2"/>
      <scheme val="minor"/>
    </font>
    <font>
      <b/>
      <sz val="20"/>
      <color theme="1"/>
      <name val="Aptos Narrow"/>
      <family val="2"/>
      <scheme val="minor"/>
    </font>
    <font>
      <b/>
      <i/>
      <u/>
      <sz val="11"/>
      <color theme="10"/>
      <name val="Aptos Narrow"/>
      <family val="2"/>
      <scheme val="minor"/>
    </font>
    <font>
      <b/>
      <i/>
      <sz val="12"/>
      <color theme="1"/>
      <name val="Aptos Narrow"/>
      <family val="2"/>
      <scheme val="minor"/>
    </font>
    <font>
      <b/>
      <u/>
      <sz val="16"/>
      <color theme="7" tint="-0.249977111117893"/>
      <name val="Aptos Narrow"/>
      <family val="2"/>
      <scheme val="minor"/>
    </font>
    <font>
      <i/>
      <u/>
      <sz val="11"/>
      <color theme="3" tint="0.499984740745262"/>
      <name val="Aptos Narrow"/>
      <family val="2"/>
      <scheme val="minor"/>
    </font>
    <font>
      <u/>
      <sz val="11"/>
      <color theme="3" tint="0.499984740745262"/>
      <name val="Aptos Narrow"/>
      <family val="2"/>
      <scheme val="minor"/>
    </font>
  </fonts>
  <fills count="22">
    <fill>
      <patternFill patternType="none"/>
    </fill>
    <fill>
      <patternFill patternType="gray125"/>
    </fill>
    <fill>
      <patternFill patternType="solid">
        <fgColor theme="0" tint="-0.14996795556505021"/>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rgb="FFB5E6A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E97132"/>
        <bgColor indexed="64"/>
      </patternFill>
    </fill>
    <fill>
      <patternFill patternType="solid">
        <fgColor rgb="FFF7F7CB"/>
        <bgColor indexed="64"/>
      </patternFill>
    </fill>
    <fill>
      <patternFill patternType="solid">
        <fgColor theme="0" tint="-0.499984740745262"/>
        <bgColor indexed="64"/>
      </patternFill>
    </fill>
    <fill>
      <patternFill patternType="solid">
        <fgColor theme="2"/>
        <bgColor indexed="64"/>
      </patternFill>
    </fill>
    <fill>
      <patternFill patternType="solid">
        <fgColor rgb="FFFFFF99"/>
        <bgColor indexed="64"/>
      </patternFill>
    </fill>
    <fill>
      <patternFill patternType="solid">
        <fgColor theme="5" tint="0.79998168889431442"/>
        <bgColor indexed="64"/>
      </patternFill>
    </fill>
    <fill>
      <patternFill patternType="solid">
        <fgColor theme="7" tint="0.39997558519241921"/>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diagonalUp="1" diagonalDown="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medium">
        <color indexed="64"/>
      </top>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medium">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ck">
        <color indexed="64"/>
      </right>
      <top style="thick">
        <color indexed="64"/>
      </top>
      <bottom style="thick">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medium">
        <color indexed="64"/>
      </top>
      <bottom style="medium">
        <color indexed="64"/>
      </bottom>
      <diagonal/>
    </border>
    <border diagonalUp="1" diagonalDown="1">
      <left style="medium">
        <color indexed="64"/>
      </left>
      <right style="thin">
        <color indexed="64"/>
      </right>
      <top style="thin">
        <color indexed="64"/>
      </top>
      <bottom style="thin">
        <color indexed="64"/>
      </bottom>
      <diagonal style="thin">
        <color indexed="64"/>
      </diagonal>
    </border>
    <border diagonalUp="1" diagonalDown="1">
      <left style="medium">
        <color indexed="64"/>
      </left>
      <right style="thin">
        <color indexed="64"/>
      </right>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medium">
        <color indexed="64"/>
      </right>
      <top style="medium">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bottom/>
      <diagonal/>
    </border>
    <border diagonalUp="1" diagonalDown="1">
      <left style="medium">
        <color indexed="64"/>
      </left>
      <right/>
      <top style="medium">
        <color indexed="64"/>
      </top>
      <bottom style="thin">
        <color indexed="64"/>
      </bottom>
      <diagonal style="thin">
        <color indexed="64"/>
      </diagonal>
    </border>
    <border diagonalUp="1" diagonalDown="1">
      <left/>
      <right/>
      <top style="medium">
        <color indexed="64"/>
      </top>
      <bottom style="thin">
        <color indexed="64"/>
      </bottom>
      <diagonal style="thin">
        <color indexed="64"/>
      </diagonal>
    </border>
    <border diagonalUp="1" diagonalDown="1">
      <left/>
      <right style="medium">
        <color indexed="64"/>
      </right>
      <top style="medium">
        <color indexed="64"/>
      </top>
      <bottom style="thin">
        <color indexed="64"/>
      </bottom>
      <diagonal style="thin">
        <color indexed="64"/>
      </diagonal>
    </border>
    <border diagonalUp="1" diagonalDown="1">
      <left style="thin">
        <color indexed="64"/>
      </left>
      <right style="medium">
        <color indexed="64"/>
      </right>
      <top style="thin">
        <color indexed="64"/>
      </top>
      <bottom/>
      <diagonal style="thin">
        <color indexed="64"/>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medium">
        <color indexed="64"/>
      </right>
      <top/>
      <bottom/>
      <diagonal/>
    </border>
  </borders>
  <cellStyleXfs count="4">
    <xf numFmtId="0" fontId="0" fillId="0" borderId="0"/>
    <xf numFmtId="9" fontId="1" fillId="0" borderId="0" applyFont="0" applyFill="0" applyBorder="0" applyAlignment="0" applyProtection="0"/>
    <xf numFmtId="2" fontId="1" fillId="2" borderId="1"/>
    <xf numFmtId="0" fontId="6" fillId="0" borderId="0" applyNumberFormat="0" applyFill="0" applyBorder="0" applyAlignment="0" applyProtection="0"/>
  </cellStyleXfs>
  <cellXfs count="1125">
    <xf numFmtId="0" fontId="0" fillId="0" borderId="0" xfId="0"/>
    <xf numFmtId="0" fontId="0" fillId="0" borderId="1" xfId="0" applyBorder="1"/>
    <xf numFmtId="0" fontId="0" fillId="0" borderId="0" xfId="0" applyAlignment="1">
      <alignment wrapText="1"/>
    </xf>
    <xf numFmtId="0" fontId="0" fillId="0" borderId="6" xfId="0" applyBorder="1"/>
    <xf numFmtId="0" fontId="0" fillId="0" borderId="18" xfId="0" applyBorder="1"/>
    <xf numFmtId="0" fontId="0" fillId="0" borderId="19" xfId="0" applyBorder="1"/>
    <xf numFmtId="0" fontId="2" fillId="0" borderId="1" xfId="0" applyFont="1" applyBorder="1" applyAlignment="1">
      <alignment horizontal="center" vertical="center"/>
    </xf>
    <xf numFmtId="0" fontId="0" fillId="0" borderId="2" xfId="0" applyBorder="1"/>
    <xf numFmtId="0" fontId="0" fillId="0" borderId="25" xfId="0" applyBorder="1"/>
    <xf numFmtId="0" fontId="0" fillId="0" borderId="0" xfId="0" applyAlignment="1">
      <alignment horizontal="left" vertical="top"/>
    </xf>
    <xf numFmtId="0" fontId="0" fillId="7" borderId="0" xfId="0" applyFill="1"/>
    <xf numFmtId="0" fontId="2" fillId="0" borderId="0" xfId="0" applyFont="1" applyAlignment="1">
      <alignment horizontal="center" vertical="center" wrapText="1"/>
    </xf>
    <xf numFmtId="0" fontId="0" fillId="0" borderId="22" xfId="0" applyBorder="1"/>
    <xf numFmtId="0" fontId="0" fillId="0" borderId="30" xfId="0" applyBorder="1"/>
    <xf numFmtId="0" fontId="0" fillId="0" borderId="29" xfId="0" applyBorder="1"/>
    <xf numFmtId="0" fontId="2" fillId="7" borderId="0" xfId="0" applyFont="1" applyFill="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7" borderId="0" xfId="0" applyFont="1" applyFill="1" applyAlignment="1">
      <alignment horizontal="center"/>
    </xf>
    <xf numFmtId="0" fontId="0" fillId="7" borderId="0" xfId="0" applyFill="1" applyAlignment="1">
      <alignment horizontal="center" vertical="center"/>
    </xf>
    <xf numFmtId="2" fontId="1" fillId="13" borderId="58" xfId="2" applyFill="1" applyBorder="1" applyAlignment="1">
      <alignment horizontal="center" vertical="center"/>
    </xf>
    <xf numFmtId="0" fontId="2" fillId="7" borderId="0" xfId="0" applyFont="1" applyFill="1"/>
    <xf numFmtId="166" fontId="1" fillId="13" borderId="71" xfId="2" applyNumberFormat="1" applyFill="1" applyBorder="1" applyAlignment="1">
      <alignment horizontal="center" vertical="center"/>
    </xf>
    <xf numFmtId="165" fontId="1" fillId="13" borderId="71" xfId="2" applyNumberFormat="1" applyFill="1" applyBorder="1" applyAlignment="1">
      <alignment horizontal="center" vertical="center"/>
    </xf>
    <xf numFmtId="165" fontId="1" fillId="7" borderId="34" xfId="2" applyNumberFormat="1" applyFill="1" applyBorder="1" applyAlignment="1">
      <alignment horizontal="center" vertical="center"/>
    </xf>
    <xf numFmtId="167" fontId="1" fillId="13" borderId="71" xfId="2" applyNumberFormat="1" applyFill="1" applyBorder="1" applyAlignment="1">
      <alignment horizontal="center" vertical="center"/>
    </xf>
    <xf numFmtId="0" fontId="2" fillId="0" borderId="71" xfId="0" applyFont="1" applyBorder="1"/>
    <xf numFmtId="0" fontId="2" fillId="0" borderId="71" xfId="0" applyFont="1" applyBorder="1" applyAlignment="1">
      <alignment horizontal="center" vertical="center" wrapText="1"/>
    </xf>
    <xf numFmtId="0" fontId="2" fillId="0" borderId="74" xfId="0" applyFont="1" applyBorder="1" applyAlignment="1">
      <alignment vertical="center" wrapText="1"/>
    </xf>
    <xf numFmtId="168" fontId="0" fillId="0" borderId="40" xfId="0" applyNumberFormat="1" applyBorder="1" applyAlignment="1">
      <alignment vertical="center" wrapText="1"/>
    </xf>
    <xf numFmtId="168" fontId="0" fillId="0" borderId="6" xfId="0" applyNumberFormat="1" applyBorder="1" applyAlignment="1">
      <alignment vertical="center" wrapText="1"/>
    </xf>
    <xf numFmtId="168" fontId="0" fillId="0" borderId="44" xfId="0" applyNumberFormat="1" applyBorder="1" applyAlignment="1">
      <alignment vertical="center" wrapText="1"/>
    </xf>
    <xf numFmtId="0" fontId="2" fillId="0" borderId="71" xfId="0" applyFont="1" applyBorder="1" applyAlignment="1">
      <alignment vertical="center" wrapText="1"/>
    </xf>
    <xf numFmtId="168" fontId="0" fillId="0" borderId="4" xfId="0" applyNumberFormat="1" applyBorder="1" applyAlignment="1">
      <alignment vertical="center" wrapText="1"/>
    </xf>
    <xf numFmtId="168" fontId="0" fillId="0" borderId="1" xfId="0" applyNumberFormat="1" applyBorder="1" applyAlignment="1">
      <alignment vertical="center" wrapText="1"/>
    </xf>
    <xf numFmtId="168" fontId="0" fillId="0" borderId="11" xfId="0" applyNumberFormat="1" applyBorder="1" applyAlignment="1">
      <alignment vertical="center" wrapText="1"/>
    </xf>
    <xf numFmtId="168" fontId="0" fillId="0" borderId="13" xfId="0" applyNumberFormat="1" applyBorder="1" applyAlignment="1">
      <alignment vertical="center" wrapText="1"/>
    </xf>
    <xf numFmtId="168" fontId="0" fillId="0" borderId="20" xfId="0" applyNumberFormat="1" applyBorder="1" applyAlignment="1">
      <alignment vertical="center" wrapText="1"/>
    </xf>
    <xf numFmtId="168" fontId="0" fillId="0" borderId="14" xfId="0" applyNumberFormat="1" applyBorder="1" applyAlignment="1">
      <alignment vertical="center" wrapText="1"/>
    </xf>
    <xf numFmtId="0" fontId="0" fillId="0" borderId="0" xfId="0" quotePrefix="1"/>
    <xf numFmtId="169" fontId="0" fillId="0" borderId="1" xfId="0" applyNumberFormat="1" applyBorder="1" applyAlignment="1">
      <alignment vertical="center" wrapText="1"/>
    </xf>
    <xf numFmtId="169" fontId="0" fillId="0" borderId="4" xfId="0" applyNumberFormat="1" applyBorder="1" applyAlignment="1">
      <alignment vertical="center" wrapText="1"/>
    </xf>
    <xf numFmtId="169" fontId="0" fillId="0" borderId="40" xfId="0" applyNumberFormat="1" applyBorder="1" applyAlignment="1">
      <alignment vertical="center" wrapText="1"/>
    </xf>
    <xf numFmtId="169" fontId="0" fillId="0" borderId="6" xfId="0" applyNumberFormat="1" applyBorder="1" applyAlignment="1">
      <alignment vertical="center" wrapText="1"/>
    </xf>
    <xf numFmtId="0" fontId="0" fillId="18" borderId="33" xfId="0" applyFill="1" applyBorder="1" applyAlignment="1">
      <alignment horizontal="center"/>
    </xf>
    <xf numFmtId="0" fontId="0" fillId="18" borderId="34" xfId="0" applyFill="1" applyBorder="1" applyAlignment="1">
      <alignment horizontal="center"/>
    </xf>
    <xf numFmtId="169" fontId="0" fillId="0" borderId="1" xfId="0" applyNumberFormat="1" applyBorder="1"/>
    <xf numFmtId="169" fontId="0" fillId="0" borderId="4" xfId="0" applyNumberFormat="1" applyBorder="1"/>
    <xf numFmtId="169" fontId="0" fillId="0" borderId="6" xfId="0" applyNumberFormat="1" applyBorder="1"/>
    <xf numFmtId="169" fontId="0" fillId="0" borderId="44" xfId="0" applyNumberFormat="1" applyBorder="1"/>
    <xf numFmtId="169" fontId="0" fillId="0" borderId="11" xfId="0" applyNumberFormat="1" applyBorder="1"/>
    <xf numFmtId="0" fontId="0" fillId="7" borderId="25" xfId="0" applyFill="1" applyBorder="1"/>
    <xf numFmtId="0" fontId="0" fillId="0" borderId="46" xfId="0" applyBorder="1"/>
    <xf numFmtId="14" fontId="0" fillId="0" borderId="0" xfId="0" applyNumberFormat="1"/>
    <xf numFmtId="0" fontId="2" fillId="0" borderId="71" xfId="0" applyFont="1" applyBorder="1" applyAlignment="1">
      <alignment horizontal="center"/>
    </xf>
    <xf numFmtId="0" fontId="2" fillId="0" borderId="11" xfId="0" applyFont="1" applyBorder="1" applyAlignment="1">
      <alignment horizontal="center" vertical="center" wrapText="1"/>
    </xf>
    <xf numFmtId="0" fontId="0" fillId="0" borderId="73" xfId="0" applyBorder="1"/>
    <xf numFmtId="0" fontId="0" fillId="7" borderId="46" xfId="0" applyFill="1" applyBorder="1"/>
    <xf numFmtId="0" fontId="0" fillId="7" borderId="5" xfId="0" applyFill="1" applyBorder="1"/>
    <xf numFmtId="0" fontId="0" fillId="7" borderId="53" xfId="0" applyFill="1" applyBorder="1"/>
    <xf numFmtId="0" fontId="2" fillId="0" borderId="63" xfId="0" applyFont="1" applyBorder="1" applyAlignment="1">
      <alignment horizontal="center"/>
    </xf>
    <xf numFmtId="0" fontId="0" fillId="7" borderId="54" xfId="0" applyFill="1" applyBorder="1"/>
    <xf numFmtId="0" fontId="2" fillId="7" borderId="55" xfId="0" applyFont="1" applyFill="1" applyBorder="1" applyAlignment="1">
      <alignment horizontal="center"/>
    </xf>
    <xf numFmtId="0" fontId="0" fillId="7" borderId="55" xfId="0" applyFill="1" applyBorder="1"/>
    <xf numFmtId="0" fontId="0" fillId="0" borderId="55" xfId="0" applyBorder="1"/>
    <xf numFmtId="0" fontId="2" fillId="0" borderId="9" xfId="0" applyFont="1" applyBorder="1" applyAlignment="1">
      <alignment horizontal="center"/>
    </xf>
    <xf numFmtId="166" fontId="2" fillId="13" borderId="63" xfId="2" applyNumberFormat="1" applyFont="1" applyFill="1" applyBorder="1" applyAlignment="1">
      <alignment horizontal="center" vertical="center"/>
    </xf>
    <xf numFmtId="166" fontId="0" fillId="13" borderId="71" xfId="2" applyNumberFormat="1" applyFont="1" applyFill="1" applyBorder="1" applyAlignment="1">
      <alignment horizontal="center" vertical="center"/>
    </xf>
    <xf numFmtId="0" fontId="0" fillId="0" borderId="39" xfId="0" applyBorder="1"/>
    <xf numFmtId="164" fontId="0" fillId="7" borderId="0" xfId="0" applyNumberFormat="1" applyFill="1"/>
    <xf numFmtId="0" fontId="27" fillId="7" borderId="75" xfId="0" applyFont="1" applyFill="1" applyBorder="1"/>
    <xf numFmtId="0" fontId="0" fillId="0" borderId="11" xfId="0" applyBorder="1" applyAlignment="1" applyProtection="1">
      <alignment vertical="center"/>
      <protection locked="0"/>
      <extLst>
        <ext xmlns:xfpb="http://schemas.microsoft.com/office/spreadsheetml/2022/featurepropertybag" uri="{C7286773-470A-42A8-94C5-96B5CB345126}">
          <xfpb:xfComplement i="0"/>
        </ext>
      </extLst>
    </xf>
    <xf numFmtId="0" fontId="0" fillId="6" borderId="11" xfId="0" applyFill="1" applyBorder="1" applyAlignment="1" applyProtection="1">
      <alignment horizontal="center" vertical="center" wrapText="1"/>
      <protection locked="0"/>
    </xf>
    <xf numFmtId="0" fontId="0" fillId="6" borderId="51" xfId="0" applyFill="1" applyBorder="1" applyAlignment="1" applyProtection="1">
      <alignment horizontal="center" vertical="center" wrapText="1"/>
      <protection locked="0"/>
    </xf>
    <xf numFmtId="0" fontId="0" fillId="0" borderId="11" xfId="0" applyBorder="1" applyAlignment="1" applyProtection="1">
      <alignment horizontal="right" vertical="center" wrapText="1"/>
      <protection locked="0"/>
    </xf>
    <xf numFmtId="0" fontId="0" fillId="0" borderId="11" xfId="0" applyBorder="1" applyAlignment="1" applyProtection="1">
      <alignment horizontal="right" wrapText="1"/>
      <protection locked="0"/>
    </xf>
    <xf numFmtId="0" fontId="0" fillId="6" borderId="11" xfId="0" applyFill="1" applyBorder="1" applyAlignment="1" applyProtection="1">
      <alignment horizontal="right"/>
      <protection locked="0"/>
    </xf>
    <xf numFmtId="0" fontId="0" fillId="0" borderId="11" xfId="0" applyBorder="1" applyAlignment="1" applyProtection="1">
      <alignment horizontal="left" vertical="center" wrapText="1"/>
      <protection locked="0"/>
    </xf>
    <xf numFmtId="2" fontId="0" fillId="0" borderId="11" xfId="0" applyNumberFormat="1" applyBorder="1" applyAlignment="1" applyProtection="1">
      <alignment horizontal="right" wrapText="1"/>
      <protection locked="0"/>
    </xf>
    <xf numFmtId="2" fontId="0" fillId="0" borderId="11" xfId="0" applyNumberFormat="1" applyBorder="1" applyAlignment="1" applyProtection="1">
      <alignment horizontal="right"/>
      <protection locked="0"/>
    </xf>
    <xf numFmtId="0" fontId="0" fillId="0" borderId="14" xfId="0" applyBorder="1" applyAlignment="1" applyProtection="1">
      <alignment horizontal="right" wrapText="1"/>
      <protection locked="0"/>
    </xf>
    <xf numFmtId="0" fontId="0" fillId="6" borderId="20" xfId="0" applyFill="1" applyBorder="1" applyProtection="1">
      <protection locked="0"/>
    </xf>
    <xf numFmtId="0" fontId="0" fillId="6" borderId="14" xfId="0" applyFill="1" applyBorder="1" applyProtection="1">
      <protection locked="0"/>
    </xf>
    <xf numFmtId="0" fontId="0" fillId="6" borderId="43" xfId="0" applyFill="1" applyBorder="1" applyProtection="1">
      <protection locked="0"/>
    </xf>
    <xf numFmtId="0" fontId="0" fillId="6" borderId="44" xfId="0" applyFill="1" applyBorder="1" applyProtection="1">
      <protection locked="0"/>
    </xf>
    <xf numFmtId="0" fontId="0" fillId="6" borderId="2" xfId="0" applyFill="1" applyBorder="1" applyProtection="1">
      <protection locked="0"/>
    </xf>
    <xf numFmtId="0" fontId="0" fillId="6" borderId="11" xfId="0" applyFill="1" applyBorder="1" applyProtection="1">
      <protection locked="0"/>
    </xf>
    <xf numFmtId="0" fontId="0" fillId="6" borderId="37" xfId="0" applyFill="1" applyBorder="1" applyProtection="1">
      <protection locked="0"/>
    </xf>
    <xf numFmtId="0" fontId="0" fillId="0" borderId="1" xfId="0" applyBorder="1" applyProtection="1">
      <protection locked="0"/>
    </xf>
    <xf numFmtId="49" fontId="0" fillId="0" borderId="1" xfId="0" applyNumberFormat="1" applyBorder="1" applyAlignment="1" applyProtection="1">
      <alignment horizontal="left"/>
      <protection locked="0"/>
    </xf>
    <xf numFmtId="0" fontId="0" fillId="0" borderId="2" xfId="0" applyBorder="1" applyAlignment="1" applyProtection="1">
      <alignment wrapText="1"/>
      <protection locked="0"/>
    </xf>
    <xf numFmtId="0" fontId="0" fillId="0" borderId="6" xfId="0" applyBorder="1" applyProtection="1">
      <protection locked="0"/>
    </xf>
    <xf numFmtId="49" fontId="0" fillId="0" borderId="6" xfId="0" applyNumberFormat="1" applyBorder="1" applyAlignment="1" applyProtection="1">
      <alignment horizontal="left"/>
      <protection locked="0"/>
    </xf>
    <xf numFmtId="0" fontId="0" fillId="0" borderId="43" xfId="0" applyBorder="1" applyAlignment="1" applyProtection="1">
      <alignment wrapText="1"/>
      <protection locked="0"/>
    </xf>
    <xf numFmtId="0" fontId="0" fillId="0" borderId="20" xfId="0" applyBorder="1" applyProtection="1">
      <protection locked="0"/>
    </xf>
    <xf numFmtId="49" fontId="0" fillId="0" borderId="20" xfId="0" applyNumberFormat="1" applyBorder="1" applyAlignment="1" applyProtection="1">
      <alignment horizontal="left"/>
      <protection locked="0"/>
    </xf>
    <xf numFmtId="0" fontId="0" fillId="0" borderId="37" xfId="0" applyBorder="1" applyAlignment="1" applyProtection="1">
      <alignment wrapText="1"/>
      <protection locked="0"/>
    </xf>
    <xf numFmtId="0" fontId="0" fillId="0" borderId="48" xfId="0" applyBorder="1" applyProtection="1">
      <protection locked="0"/>
    </xf>
    <xf numFmtId="49" fontId="0" fillId="0" borderId="48" xfId="0" applyNumberFormat="1" applyBorder="1" applyAlignment="1" applyProtection="1">
      <alignment horizontal="left"/>
      <protection locked="0"/>
    </xf>
    <xf numFmtId="0" fontId="0" fillId="0" borderId="46" xfId="0" applyBorder="1" applyAlignment="1" applyProtection="1">
      <alignment wrapText="1"/>
      <protection locked="0"/>
    </xf>
    <xf numFmtId="0" fontId="29" fillId="7" borderId="0" xfId="0" applyFont="1" applyFill="1" applyAlignment="1">
      <alignment horizontal="left" wrapText="1"/>
    </xf>
    <xf numFmtId="0" fontId="0" fillId="7" borderId="41" xfId="0" applyFill="1" applyBorder="1"/>
    <xf numFmtId="2" fontId="0" fillId="16" borderId="71" xfId="0" applyNumberFormat="1" applyFill="1" applyBorder="1" applyAlignment="1">
      <alignment horizontal="center"/>
    </xf>
    <xf numFmtId="0" fontId="27" fillId="0" borderId="71" xfId="0" applyFont="1" applyBorder="1" applyAlignment="1">
      <alignment horizontal="left" vertical="center"/>
    </xf>
    <xf numFmtId="0" fontId="2" fillId="0" borderId="33" xfId="0" applyFont="1" applyBorder="1"/>
    <xf numFmtId="0" fontId="0" fillId="0" borderId="1" xfId="0" applyBorder="1" applyAlignment="1">
      <alignment horizontal="center" vertical="center" wrapText="1"/>
    </xf>
    <xf numFmtId="0" fontId="2" fillId="0" borderId="25" xfId="0" applyFont="1" applyBorder="1" applyAlignment="1">
      <alignment horizontal="center" vertical="center" wrapText="1"/>
    </xf>
    <xf numFmtId="0" fontId="2" fillId="7" borderId="25" xfId="0" applyFont="1" applyFill="1" applyBorder="1" applyAlignment="1">
      <alignment horizontal="center" vertical="center"/>
    </xf>
    <xf numFmtId="0" fontId="9" fillId="0" borderId="0" xfId="0" applyFont="1"/>
    <xf numFmtId="0" fontId="0" fillId="0" borderId="0" xfId="0" applyAlignment="1">
      <alignment horizontal="left"/>
    </xf>
    <xf numFmtId="0" fontId="1" fillId="0" borderId="0" xfId="2" applyNumberFormat="1" applyFill="1" applyBorder="1" applyAlignment="1">
      <alignment horizontal="center"/>
    </xf>
    <xf numFmtId="0" fontId="11" fillId="0" borderId="0" xfId="3" applyFont="1" applyProtection="1"/>
    <xf numFmtId="0" fontId="10" fillId="0" borderId="0" xfId="0" applyFont="1"/>
    <xf numFmtId="0" fontId="9" fillId="0" borderId="0" xfId="0" applyFont="1" applyAlignment="1">
      <alignment horizontal="center" vertical="center"/>
    </xf>
    <xf numFmtId="0" fontId="0" fillId="0" borderId="25" xfId="0" applyBorder="1" applyAlignment="1">
      <alignment wrapText="1"/>
    </xf>
    <xf numFmtId="0" fontId="0" fillId="0" borderId="11" xfId="0" applyBorder="1"/>
    <xf numFmtId="0" fontId="0" fillId="0" borderId="0" xfId="0" applyAlignment="1">
      <alignment horizontal="center" vertical="center" wrapText="1"/>
    </xf>
    <xf numFmtId="164" fontId="0" fillId="7" borderId="0" xfId="0" applyNumberFormat="1" applyFill="1" applyAlignment="1">
      <alignment wrapText="1"/>
    </xf>
    <xf numFmtId="0" fontId="0" fillId="0" borderId="18" xfId="0" applyBorder="1" applyAlignment="1">
      <alignment horizontal="left" vertical="top" wrapText="1"/>
    </xf>
    <xf numFmtId="0" fontId="0" fillId="0" borderId="18" xfId="0" applyBorder="1" applyAlignment="1">
      <alignment horizontal="left" vertical="center" wrapText="1"/>
    </xf>
    <xf numFmtId="0" fontId="0" fillId="0" borderId="10" xfId="0" applyBorder="1" applyAlignment="1">
      <alignment horizontal="left" vertical="center" wrapText="1"/>
    </xf>
    <xf numFmtId="0" fontId="2" fillId="0" borderId="19" xfId="0" applyFont="1" applyBorder="1" applyAlignment="1">
      <alignment horizontal="left" vertical="center" wrapText="1"/>
    </xf>
    <xf numFmtId="0" fontId="4" fillId="19" borderId="18" xfId="0" applyFont="1" applyFill="1" applyBorder="1" applyAlignment="1">
      <alignment horizontal="left" vertical="center" wrapText="1"/>
    </xf>
    <xf numFmtId="2" fontId="2" fillId="0" borderId="6" xfId="0" applyNumberFormat="1" applyFont="1" applyBorder="1" applyAlignment="1">
      <alignment horizontal="center" vertical="center"/>
    </xf>
    <xf numFmtId="2" fontId="2" fillId="0" borderId="44" xfId="0" applyNumberFormat="1" applyFont="1" applyBorder="1" applyAlignment="1">
      <alignment horizontal="center" vertical="center" wrapText="1"/>
    </xf>
    <xf numFmtId="0" fontId="2" fillId="0" borderId="25" xfId="0" applyFont="1" applyBorder="1" applyAlignment="1">
      <alignment horizontal="center" vertical="center"/>
    </xf>
    <xf numFmtId="0" fontId="4" fillId="7" borderId="70" xfId="0" applyFont="1" applyFill="1" applyBorder="1"/>
    <xf numFmtId="0" fontId="4" fillId="7" borderId="80" xfId="0" applyFont="1" applyFill="1" applyBorder="1"/>
    <xf numFmtId="0" fontId="2" fillId="0" borderId="11" xfId="0" applyFont="1" applyBorder="1" applyAlignment="1">
      <alignment horizontal="center" vertical="center"/>
    </xf>
    <xf numFmtId="0" fontId="4" fillId="7" borderId="66" xfId="0" applyFont="1" applyFill="1" applyBorder="1"/>
    <xf numFmtId="9" fontId="1" fillId="13" borderId="11" xfId="1" applyFill="1" applyBorder="1" applyAlignment="1" applyProtection="1">
      <alignment horizontal="right"/>
    </xf>
    <xf numFmtId="0" fontId="4" fillId="7" borderId="83" xfId="0" applyFont="1" applyFill="1" applyBorder="1"/>
    <xf numFmtId="9" fontId="0" fillId="7" borderId="89" xfId="1" applyFont="1" applyFill="1" applyBorder="1" applyAlignment="1" applyProtection="1">
      <alignment horizontal="right"/>
    </xf>
    <xf numFmtId="0" fontId="0" fillId="4" borderId="19" xfId="0" applyFill="1" applyBorder="1"/>
    <xf numFmtId="0" fontId="0" fillId="0" borderId="19" xfId="0" applyBorder="1" applyAlignment="1">
      <alignment wrapText="1"/>
    </xf>
    <xf numFmtId="0" fontId="5" fillId="0" borderId="0" xfId="0" applyFont="1" applyAlignment="1">
      <alignment horizontal="center"/>
    </xf>
    <xf numFmtId="0" fontId="0" fillId="0" borderId="18" xfId="0" applyBorder="1" applyAlignment="1">
      <alignment vertical="top" wrapText="1"/>
    </xf>
    <xf numFmtId="0" fontId="0" fillId="0" borderId="19" xfId="0" applyBorder="1" applyAlignment="1">
      <alignment vertical="top" wrapText="1"/>
    </xf>
    <xf numFmtId="0" fontId="2" fillId="0" borderId="18" xfId="0" applyFont="1" applyBorder="1" applyAlignment="1">
      <alignment horizontal="center" vertical="center"/>
    </xf>
    <xf numFmtId="0" fontId="2" fillId="0" borderId="0" xfId="0" applyFont="1"/>
    <xf numFmtId="0" fontId="0" fillId="0" borderId="34" xfId="0" applyBorder="1"/>
    <xf numFmtId="0" fontId="2" fillId="0" borderId="7" xfId="0" applyFont="1" applyBorder="1" applyAlignment="1">
      <alignment horizontal="center" vertical="center" wrapText="1"/>
    </xf>
    <xf numFmtId="0" fontId="0" fillId="0" borderId="12" xfId="0" applyBorder="1"/>
    <xf numFmtId="0" fontId="0" fillId="0" borderId="0" xfId="0" applyAlignment="1">
      <alignment vertical="center"/>
    </xf>
    <xf numFmtId="0" fontId="2" fillId="0" borderId="18" xfId="0" applyFont="1" applyBorder="1" applyAlignment="1">
      <alignment vertical="center" wrapText="1"/>
    </xf>
    <xf numFmtId="0" fontId="0" fillId="0" borderId="10" xfId="0" applyBorder="1" applyAlignment="1">
      <alignment wrapText="1"/>
    </xf>
    <xf numFmtId="0" fontId="0" fillId="0" borderId="0" xfId="0" applyAlignment="1">
      <alignment horizontal="center" vertical="center"/>
    </xf>
    <xf numFmtId="0" fontId="0" fillId="0" borderId="18" xfId="0" applyBorder="1" applyAlignment="1">
      <alignment wrapText="1"/>
    </xf>
    <xf numFmtId="0" fontId="12" fillId="7" borderId="0" xfId="3" applyFont="1" applyFill="1" applyBorder="1" applyAlignment="1" applyProtection="1">
      <alignment horizontal="center" vertical="center"/>
    </xf>
    <xf numFmtId="0" fontId="12" fillId="7" borderId="0" xfId="3" applyFont="1" applyFill="1" applyBorder="1" applyAlignment="1" applyProtection="1">
      <alignment horizontal="center" vertical="center" wrapText="1"/>
    </xf>
    <xf numFmtId="0" fontId="0" fillId="0" borderId="12" xfId="0" applyBorder="1" applyAlignment="1">
      <alignment horizontal="left" vertical="center" wrapText="1"/>
    </xf>
    <xf numFmtId="2" fontId="2" fillId="0" borderId="0" xfId="0" applyNumberFormat="1" applyFont="1" applyAlignment="1">
      <alignment horizontal="center" vertical="center"/>
    </xf>
    <xf numFmtId="0" fontId="0" fillId="19" borderId="18" xfId="0" applyFill="1" applyBorder="1" applyAlignment="1">
      <alignment horizontal="left" vertical="center" wrapText="1"/>
    </xf>
    <xf numFmtId="0" fontId="0" fillId="0" borderId="45" xfId="0" applyBorder="1" applyAlignment="1">
      <alignment horizontal="left" vertical="center" wrapText="1"/>
    </xf>
    <xf numFmtId="2" fontId="0" fillId="7" borderId="0" xfId="0" applyNumberFormat="1" applyFill="1" applyAlignment="1">
      <alignment horizontal="center" vertical="center" wrapText="1"/>
    </xf>
    <xf numFmtId="0" fontId="12" fillId="0" borderId="0" xfId="3" applyFont="1" applyFill="1" applyBorder="1" applyAlignment="1" applyProtection="1">
      <alignment horizontal="center" vertical="center"/>
    </xf>
    <xf numFmtId="0" fontId="12" fillId="0" borderId="0" xfId="3" applyFont="1" applyFill="1" applyBorder="1" applyAlignment="1" applyProtection="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10" xfId="0" applyBorder="1"/>
    <xf numFmtId="2" fontId="0" fillId="13" borderId="14" xfId="0" applyNumberFormat="1" applyFill="1" applyBorder="1" applyAlignment="1">
      <alignment horizontal="center"/>
    </xf>
    <xf numFmtId="0" fontId="2" fillId="0" borderId="18" xfId="0" applyFont="1" applyBorder="1" applyAlignment="1">
      <alignment horizontal="center" vertical="center" wrapText="1"/>
    </xf>
    <xf numFmtId="0" fontId="0" fillId="13" borderId="11" xfId="0" applyFill="1" applyBorder="1" applyAlignment="1">
      <alignment horizontal="center"/>
    </xf>
    <xf numFmtId="0" fontId="0" fillId="6" borderId="1" xfId="0" applyFill="1" applyBorder="1" applyAlignment="1" applyProtection="1">
      <alignment horizontal="center" vertical="center"/>
      <protection locked="0"/>
    </xf>
    <xf numFmtId="0" fontId="0" fillId="6" borderId="11" xfId="0" applyFill="1" applyBorder="1" applyAlignment="1" applyProtection="1">
      <alignment horizontal="center"/>
      <protection locked="0"/>
    </xf>
    <xf numFmtId="0" fontId="0" fillId="19" borderId="44" xfId="0" applyFill="1" applyBorder="1" applyAlignment="1" applyProtection="1">
      <alignment vertical="center"/>
      <protection locked="0"/>
      <extLst>
        <ext xmlns:xfpb="http://schemas.microsoft.com/office/spreadsheetml/2022/featurepropertybag" uri="{C7286773-470A-42A8-94C5-96B5CB345126}">
          <xfpb:xfComplement i="0"/>
        </ext>
      </extLst>
    </xf>
    <xf numFmtId="2" fontId="0" fillId="0" borderId="1" xfId="0" applyNumberFormat="1" applyBorder="1" applyProtection="1">
      <protection locked="0"/>
    </xf>
    <xf numFmtId="0" fontId="7" fillId="0" borderId="10" xfId="0" applyFont="1" applyBorder="1" applyAlignment="1">
      <alignment horizontal="center" vertical="center" wrapText="1"/>
    </xf>
    <xf numFmtId="0" fontId="0" fillId="7" borderId="0" xfId="0" quotePrefix="1" applyFill="1"/>
    <xf numFmtId="0" fontId="0" fillId="0" borderId="10" xfId="0" applyBorder="1" applyAlignment="1">
      <alignment horizontal="center" vertical="center" wrapText="1"/>
    </xf>
    <xf numFmtId="0" fontId="2" fillId="0" borderId="12" xfId="0" applyFont="1" applyBorder="1" applyAlignment="1">
      <alignment horizontal="center" vertical="center" wrapText="1"/>
    </xf>
    <xf numFmtId="0" fontId="7" fillId="0" borderId="30" xfId="0" applyFont="1" applyBorder="1" applyAlignment="1">
      <alignment horizontal="center" vertical="center" wrapText="1"/>
    </xf>
    <xf numFmtId="0" fontId="0" fillId="0" borderId="18" xfId="0" applyBorder="1" applyAlignment="1">
      <alignment horizontal="center" vertical="center" wrapText="1"/>
    </xf>
    <xf numFmtId="0" fontId="10" fillId="0" borderId="18" xfId="3" applyFont="1" applyFill="1" applyBorder="1" applyAlignment="1" applyProtection="1">
      <alignment horizontal="left" vertical="center" wrapText="1"/>
    </xf>
    <xf numFmtId="0" fontId="10" fillId="19" borderId="18" xfId="0" applyFont="1" applyFill="1" applyBorder="1" applyAlignment="1">
      <alignment horizontal="left" vertical="center" wrapText="1"/>
    </xf>
    <xf numFmtId="0" fontId="4" fillId="7" borderId="18" xfId="0" applyFont="1" applyFill="1" applyBorder="1" applyAlignment="1">
      <alignment wrapText="1"/>
    </xf>
    <xf numFmtId="0" fontId="2" fillId="7" borderId="19" xfId="0" applyFont="1" applyFill="1" applyBorder="1" applyAlignment="1">
      <alignment wrapText="1"/>
    </xf>
    <xf numFmtId="0" fontId="7" fillId="8" borderId="18" xfId="0" applyFont="1" applyFill="1" applyBorder="1" applyAlignment="1">
      <alignment horizontal="center" vertical="center" wrapText="1"/>
    </xf>
    <xf numFmtId="0" fontId="4" fillId="0" borderId="7" xfId="0" applyFont="1" applyBorder="1" applyAlignment="1">
      <alignment horizontal="left" wrapText="1"/>
    </xf>
    <xf numFmtId="0" fontId="4" fillId="0" borderId="30" xfId="0" applyFont="1" applyBorder="1" applyAlignment="1">
      <alignment horizontal="left" wrapText="1"/>
    </xf>
    <xf numFmtId="0" fontId="0" fillId="7" borderId="30" xfId="0" applyFill="1" applyBorder="1" applyAlignment="1">
      <alignment wrapText="1"/>
    </xf>
    <xf numFmtId="0" fontId="0" fillId="7" borderId="19" xfId="0" applyFill="1" applyBorder="1" applyAlignment="1">
      <alignment wrapText="1"/>
    </xf>
    <xf numFmtId="0" fontId="17" fillId="0" borderId="25" xfId="0" applyFont="1" applyBorder="1" applyAlignment="1">
      <alignment vertical="center" wrapText="1"/>
    </xf>
    <xf numFmtId="0" fontId="0" fillId="0" borderId="30" xfId="0" applyBorder="1" applyAlignment="1">
      <alignment horizontal="left" indent="1"/>
    </xf>
    <xf numFmtId="0" fontId="0" fillId="0" borderId="25" xfId="0" applyBorder="1" applyAlignment="1">
      <alignment horizontal="left" indent="1"/>
    </xf>
    <xf numFmtId="0" fontId="0" fillId="0" borderId="18" xfId="0" applyBorder="1" applyAlignment="1">
      <alignment horizontal="left" indent="1"/>
    </xf>
    <xf numFmtId="0" fontId="0" fillId="0" borderId="12" xfId="0" applyBorder="1" applyAlignment="1">
      <alignment wrapText="1"/>
    </xf>
    <xf numFmtId="0" fontId="17" fillId="0" borderId="18" xfId="0" applyFont="1" applyBorder="1" applyAlignment="1">
      <alignment vertical="center" wrapText="1"/>
    </xf>
    <xf numFmtId="0" fontId="4" fillId="19" borderId="11"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1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56"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2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14"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63"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9" borderId="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6" borderId="71" xfId="0" applyFill="1" applyBorder="1" applyAlignment="1" applyProtection="1">
      <alignment horizontal="center" vertical="center"/>
      <protection locked="0"/>
    </xf>
    <xf numFmtId="0" fontId="0" fillId="16" borderId="59" xfId="0" applyFill="1" applyBorder="1" applyAlignment="1" applyProtection="1">
      <alignment horizontal="center"/>
      <protection locked="0"/>
    </xf>
    <xf numFmtId="2" fontId="0" fillId="16" borderId="62" xfId="0" applyNumberFormat="1" applyFill="1" applyBorder="1" applyAlignment="1" applyProtection="1">
      <alignment horizontal="center"/>
      <protection locked="0"/>
    </xf>
    <xf numFmtId="164" fontId="0" fillId="7" borderId="0" xfId="2" applyNumberFormat="1" applyFont="1" applyFill="1" applyBorder="1" applyAlignment="1">
      <alignment horizontal="center" vertical="center"/>
    </xf>
    <xf numFmtId="164" fontId="0" fillId="7" borderId="29" xfId="2" applyNumberFormat="1" applyFont="1" applyFill="1" applyBorder="1" applyAlignment="1">
      <alignment horizontal="center" vertical="center"/>
    </xf>
    <xf numFmtId="0" fontId="2" fillId="0" borderId="71" xfId="0" applyFont="1" applyBorder="1" applyAlignment="1" applyProtection="1">
      <alignment vertical="center"/>
      <protection locked="0"/>
    </xf>
    <xf numFmtId="0" fontId="2" fillId="0" borderId="35" xfId="0" applyFont="1" applyBorder="1" applyAlignment="1" applyProtection="1">
      <alignment horizontal="left" vertical="center"/>
      <protection locked="0"/>
    </xf>
    <xf numFmtId="0" fontId="2" fillId="0" borderId="71" xfId="0" applyFont="1" applyBorder="1" applyAlignment="1" applyProtection="1">
      <alignment horizontal="left" vertical="center"/>
      <protection locked="0"/>
    </xf>
    <xf numFmtId="0" fontId="2" fillId="0" borderId="35" xfId="0" applyFont="1" applyBorder="1" applyAlignment="1" applyProtection="1">
      <alignment vertical="center"/>
      <protection locked="0"/>
    </xf>
    <xf numFmtId="0" fontId="2" fillId="0" borderId="34" xfId="0" applyFont="1" applyBorder="1" applyAlignment="1" applyProtection="1">
      <alignment vertical="center"/>
      <protection locked="0"/>
    </xf>
    <xf numFmtId="0" fontId="0" fillId="0" borderId="43" xfId="0" applyBorder="1" applyAlignment="1" applyProtection="1">
      <alignment horizontal="left"/>
      <protection locked="0"/>
    </xf>
    <xf numFmtId="2" fontId="0" fillId="0" borderId="6" xfId="0" applyNumberFormat="1" applyBorder="1" applyAlignment="1" applyProtection="1">
      <alignment horizontal="right"/>
      <protection locked="0"/>
    </xf>
    <xf numFmtId="2" fontId="0" fillId="0" borderId="1" xfId="0" applyNumberFormat="1" applyBorder="1" applyAlignment="1" applyProtection="1">
      <alignment horizontal="right"/>
      <protection locked="0"/>
    </xf>
    <xf numFmtId="2" fontId="0" fillId="17" borderId="1" xfId="0" applyNumberFormat="1" applyFill="1" applyBorder="1" applyProtection="1">
      <protection locked="0"/>
    </xf>
    <xf numFmtId="2" fontId="0" fillId="0" borderId="2" xfId="0" applyNumberFormat="1" applyBorder="1" applyProtection="1">
      <protection locked="0"/>
    </xf>
    <xf numFmtId="2" fontId="9" fillId="0" borderId="1" xfId="0" applyNumberFormat="1" applyFont="1" applyBorder="1" applyAlignment="1" applyProtection="1">
      <alignment horizontal="right"/>
      <protection locked="0"/>
    </xf>
    <xf numFmtId="2" fontId="0" fillId="0" borderId="48" xfId="0" applyNumberFormat="1" applyBorder="1" applyAlignment="1" applyProtection="1">
      <alignment horizontal="right"/>
      <protection locked="0"/>
    </xf>
    <xf numFmtId="2" fontId="0" fillId="16" borderId="18" xfId="0" applyNumberFormat="1" applyFill="1" applyBorder="1" applyAlignment="1" applyProtection="1">
      <alignment horizontal="left"/>
      <protection locked="0"/>
    </xf>
    <xf numFmtId="2" fontId="0" fillId="16" borderId="1" xfId="0" applyNumberFormat="1" applyFill="1" applyBorder="1" applyAlignment="1" applyProtection="1">
      <alignment horizontal="left"/>
      <protection locked="0"/>
    </xf>
    <xf numFmtId="165" fontId="1" fillId="16" borderId="71" xfId="2" applyNumberFormat="1" applyFill="1" applyBorder="1" applyAlignment="1" applyProtection="1">
      <alignment horizontal="center" vertical="center"/>
      <protection locked="0"/>
    </xf>
    <xf numFmtId="0" fontId="2" fillId="19" borderId="71" xfId="0" applyFont="1" applyFill="1" applyBorder="1" applyAlignment="1">
      <alignment horizontal="center" vertical="center" wrapText="1"/>
    </xf>
    <xf numFmtId="0" fontId="2" fillId="19" borderId="67" xfId="0" applyFont="1" applyFill="1" applyBorder="1" applyAlignment="1">
      <alignment horizontal="center" vertical="center" wrapText="1"/>
    </xf>
    <xf numFmtId="0" fontId="2" fillId="19" borderId="33" xfId="0" applyFont="1" applyFill="1" applyBorder="1" applyAlignment="1">
      <alignment horizontal="center" vertical="center" wrapText="1"/>
    </xf>
    <xf numFmtId="171" fontId="0" fillId="19" borderId="7" xfId="0" applyNumberFormat="1" applyFill="1" applyBorder="1" applyAlignment="1">
      <alignment vertical="center" wrapText="1"/>
    </xf>
    <xf numFmtId="171" fontId="0" fillId="19" borderId="8" xfId="0" applyNumberFormat="1" applyFill="1" applyBorder="1" applyAlignment="1">
      <alignment vertical="center" wrapText="1"/>
    </xf>
    <xf numFmtId="171" fontId="0" fillId="19" borderId="9" xfId="0" applyNumberFormat="1" applyFill="1" applyBorder="1" applyAlignment="1">
      <alignment vertical="center" wrapText="1"/>
    </xf>
    <xf numFmtId="171" fontId="0" fillId="19" borderId="18" xfId="0" applyNumberFormat="1" applyFill="1" applyBorder="1" applyAlignment="1">
      <alignment vertical="center" wrapText="1"/>
    </xf>
    <xf numFmtId="171" fontId="0" fillId="19" borderId="1" xfId="0" applyNumberFormat="1" applyFill="1" applyBorder="1" applyAlignment="1">
      <alignment vertical="center" wrapText="1"/>
    </xf>
    <xf numFmtId="171" fontId="0" fillId="19" borderId="11" xfId="0" applyNumberFormat="1" applyFill="1" applyBorder="1" applyAlignment="1">
      <alignment vertical="center" wrapText="1"/>
    </xf>
    <xf numFmtId="171" fontId="0" fillId="19" borderId="19" xfId="0" applyNumberFormat="1" applyFill="1" applyBorder="1" applyAlignment="1">
      <alignment vertical="center" wrapText="1"/>
    </xf>
    <xf numFmtId="171" fontId="0" fillId="19" borderId="20" xfId="0" applyNumberFormat="1" applyFill="1" applyBorder="1" applyAlignment="1">
      <alignment vertical="center" wrapText="1"/>
    </xf>
    <xf numFmtId="171" fontId="0" fillId="19" borderId="14" xfId="0" applyNumberFormat="1" applyFill="1" applyBorder="1" applyAlignment="1">
      <alignment vertical="center" wrapText="1"/>
    </xf>
    <xf numFmtId="0" fontId="0" fillId="6" borderId="20"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14"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13"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19"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3" borderId="21" xfId="0" applyFill="1" applyBorder="1" applyAlignment="1" applyProtection="1">
      <alignment horizontal="center" wrapText="1"/>
      <protection locked="0"/>
    </xf>
    <xf numFmtId="0" fontId="0" fillId="13" borderId="36" xfId="0" applyFill="1" applyBorder="1" applyAlignment="1" applyProtection="1">
      <alignment horizontal="center" wrapText="1"/>
      <protection locked="0"/>
    </xf>
    <xf numFmtId="0" fontId="0" fillId="13" borderId="56" xfId="0" applyFill="1" applyBorder="1" applyAlignment="1" applyProtection="1">
      <alignment horizontal="center" wrapText="1"/>
      <protection locked="0"/>
    </xf>
    <xf numFmtId="0" fontId="4" fillId="19" borderId="38" xfId="0" applyFont="1" applyFill="1" applyBorder="1" applyAlignment="1">
      <alignment wrapText="1"/>
    </xf>
    <xf numFmtId="0" fontId="0" fillId="7" borderId="39" xfId="0" applyFill="1" applyBorder="1" applyAlignment="1">
      <alignment wrapText="1"/>
    </xf>
    <xf numFmtId="0" fontId="4" fillId="7" borderId="7" xfId="0" applyFont="1" applyFill="1" applyBorder="1" applyAlignment="1">
      <alignment wrapText="1"/>
    </xf>
    <xf numFmtId="0" fontId="9" fillId="0" borderId="32" xfId="0" applyFont="1" applyBorder="1" applyAlignment="1">
      <alignment horizontal="left" vertical="center" wrapText="1"/>
    </xf>
    <xf numFmtId="0" fontId="7" fillId="0" borderId="19" xfId="0" applyFont="1" applyBorder="1" applyAlignment="1">
      <alignment horizontal="left" vertical="top" wrapText="1"/>
    </xf>
    <xf numFmtId="0" fontId="32" fillId="0" borderId="0" xfId="0" applyFont="1"/>
    <xf numFmtId="0" fontId="0" fillId="0" borderId="51" xfId="0" applyBorder="1" applyAlignment="1">
      <alignment horizontal="center" vertical="center" wrapText="1"/>
    </xf>
    <xf numFmtId="0" fontId="0" fillId="19" borderId="1" xfId="0" applyFill="1" applyBorder="1" applyAlignment="1">
      <alignment horizontal="left" vertical="center" wrapText="1"/>
    </xf>
    <xf numFmtId="2" fontId="0" fillId="20" borderId="1" xfId="0" applyNumberFormat="1" applyFill="1" applyBorder="1" applyProtection="1">
      <protection locked="0"/>
    </xf>
    <xf numFmtId="0" fontId="2" fillId="0" borderId="71" xfId="0" applyFont="1" applyBorder="1" applyAlignment="1" applyProtection="1">
      <alignment horizontal="center" vertical="center"/>
      <protection locked="0"/>
    </xf>
    <xf numFmtId="2" fontId="0" fillId="20" borderId="2" xfId="0" applyNumberFormat="1" applyFill="1" applyBorder="1" applyProtection="1">
      <protection locked="0"/>
    </xf>
    <xf numFmtId="2" fontId="0" fillId="16" borderId="2" xfId="0" applyNumberFormat="1" applyFill="1" applyBorder="1" applyAlignment="1" applyProtection="1">
      <alignment horizontal="left"/>
      <protection locked="0"/>
    </xf>
    <xf numFmtId="0" fontId="0" fillId="0" borderId="40" xfId="0" applyBorder="1"/>
    <xf numFmtId="0" fontId="0" fillId="0" borderId="4" xfId="0" applyBorder="1"/>
    <xf numFmtId="0" fontId="0" fillId="0" borderId="8" xfId="0" applyBorder="1" applyAlignment="1" applyProtection="1">
      <alignment horizontal="left"/>
      <protection locked="0"/>
    </xf>
    <xf numFmtId="0" fontId="0" fillId="0" borderId="1" xfId="0" applyBorder="1" applyAlignment="1" applyProtection="1">
      <alignment horizontal="left"/>
      <protection locked="0"/>
    </xf>
    <xf numFmtId="2" fontId="0" fillId="16" borderId="39" xfId="0" applyNumberFormat="1" applyFill="1" applyBorder="1" applyAlignment="1" applyProtection="1">
      <alignment horizontal="left"/>
      <protection locked="0"/>
    </xf>
    <xf numFmtId="2" fontId="0" fillId="16" borderId="48" xfId="0" applyNumberFormat="1" applyFill="1" applyBorder="1" applyAlignment="1" applyProtection="1">
      <alignment horizontal="left"/>
      <protection locked="0"/>
    </xf>
    <xf numFmtId="2" fontId="0" fillId="16" borderId="46" xfId="0" applyNumberFormat="1" applyFill="1" applyBorder="1" applyAlignment="1" applyProtection="1">
      <alignment horizontal="left"/>
      <protection locked="0"/>
    </xf>
    <xf numFmtId="0" fontId="6" fillId="6" borderId="14" xfId="3" applyFill="1" applyBorder="1" applyAlignment="1" applyProtection="1">
      <alignment vertical="top"/>
      <protection locked="0"/>
    </xf>
    <xf numFmtId="9" fontId="0" fillId="13" borderId="14" xfId="1" applyFont="1" applyFill="1" applyBorder="1" applyAlignment="1" applyProtection="1">
      <alignment horizontal="right"/>
    </xf>
    <xf numFmtId="9" fontId="0" fillId="13" borderId="44" xfId="1" applyFont="1" applyFill="1" applyBorder="1" applyAlignment="1" applyProtection="1">
      <alignment horizontal="right"/>
    </xf>
    <xf numFmtId="0" fontId="0" fillId="0" borderId="18" xfId="0" applyBorder="1" applyProtection="1">
      <protection locked="0"/>
    </xf>
    <xf numFmtId="0" fontId="0" fillId="0" borderId="30" xfId="0" applyBorder="1" applyProtection="1">
      <protection locked="0"/>
    </xf>
    <xf numFmtId="0" fontId="0" fillId="0" borderId="19" xfId="0" applyBorder="1" applyProtection="1">
      <protection locked="0"/>
    </xf>
    <xf numFmtId="0" fontId="0" fillId="0" borderId="32" xfId="0" applyBorder="1" applyProtection="1">
      <protection locked="0"/>
    </xf>
    <xf numFmtId="164" fontId="0" fillId="7" borderId="41" xfId="0" applyNumberFormat="1" applyFill="1" applyBorder="1"/>
    <xf numFmtId="0" fontId="0" fillId="7" borderId="40" xfId="0" applyFill="1" applyBorder="1"/>
    <xf numFmtId="164" fontId="0" fillId="7" borderId="43" xfId="0" applyNumberFormat="1" applyFill="1" applyBorder="1"/>
    <xf numFmtId="0" fontId="0" fillId="7" borderId="0" xfId="0" applyFill="1" applyAlignment="1">
      <alignment wrapText="1"/>
    </xf>
    <xf numFmtId="0" fontId="2" fillId="0" borderId="91" xfId="0" applyFont="1" applyBorder="1" applyAlignment="1">
      <alignment horizontal="center" vertical="center" wrapText="1"/>
    </xf>
    <xf numFmtId="0" fontId="2" fillId="0" borderId="42" xfId="0" applyFont="1" applyBorder="1" applyAlignment="1">
      <alignment horizontal="center" vertical="center" wrapText="1"/>
    </xf>
    <xf numFmtId="0" fontId="0" fillId="6" borderId="9" xfId="0" applyFill="1" applyBorder="1" applyProtection="1">
      <protection locked="0"/>
      <extLst>
        <ext xmlns:xfpb="http://schemas.microsoft.com/office/spreadsheetml/2022/featurepropertybag" uri="{C7286773-470A-42A8-94C5-96B5CB345126}">
          <xfpb:xfComplement i="0"/>
        </ext>
      </extLst>
    </xf>
    <xf numFmtId="0" fontId="0" fillId="6" borderId="11" xfId="0" applyFill="1" applyBorder="1" applyProtection="1">
      <protection locked="0"/>
      <extLst>
        <ext xmlns:xfpb="http://schemas.microsoft.com/office/spreadsheetml/2022/featurepropertybag" uri="{C7286773-470A-42A8-94C5-96B5CB345126}">
          <xfpb:xfComplement i="0"/>
        </ext>
      </extLst>
    </xf>
    <xf numFmtId="0" fontId="0" fillId="6" borderId="14" xfId="0" applyFill="1" applyBorder="1" applyProtection="1">
      <protection locked="0"/>
      <extLst>
        <ext xmlns:xfpb="http://schemas.microsoft.com/office/spreadsheetml/2022/featurepropertybag" uri="{C7286773-470A-42A8-94C5-96B5CB345126}">
          <xfpb:xfComplement i="0"/>
        </ext>
      </extLst>
    </xf>
    <xf numFmtId="0" fontId="0" fillId="6" borderId="1" xfId="0" applyFill="1" applyBorder="1" applyProtection="1">
      <protection locked="0"/>
      <extLst>
        <ext xmlns:xfpb="http://schemas.microsoft.com/office/spreadsheetml/2022/featurepropertybag" uri="{C7286773-470A-42A8-94C5-96B5CB345126}">
          <xfpb:xfComplement i="0"/>
        </ext>
      </extLst>
    </xf>
    <xf numFmtId="0" fontId="0" fillId="6" borderId="48" xfId="0" applyFill="1" applyBorder="1" applyProtection="1">
      <protection locked="0"/>
      <extLst>
        <ext xmlns:xfpb="http://schemas.microsoft.com/office/spreadsheetml/2022/featurepropertybag" uri="{C7286773-470A-42A8-94C5-96B5CB345126}">
          <xfpb:xfComplement i="0"/>
        </ext>
      </extLst>
    </xf>
    <xf numFmtId="0" fontId="0" fillId="6" borderId="24" xfId="0" applyFill="1" applyBorder="1" applyProtection="1">
      <protection locked="0"/>
      <extLst>
        <ext xmlns:xfpb="http://schemas.microsoft.com/office/spreadsheetml/2022/featurepropertybag" uri="{C7286773-470A-42A8-94C5-96B5CB345126}">
          <xfpb:xfComplement i="0"/>
        </ext>
      </extLst>
    </xf>
    <xf numFmtId="0" fontId="0" fillId="6" borderId="4" xfId="0" applyFill="1" applyBorder="1" applyProtection="1">
      <protection locked="0"/>
      <extLst>
        <ext xmlns:xfpb="http://schemas.microsoft.com/office/spreadsheetml/2022/featurepropertybag" uri="{C7286773-470A-42A8-94C5-96B5CB345126}">
          <xfpb:xfComplement i="0"/>
        </ext>
      </extLst>
    </xf>
    <xf numFmtId="0" fontId="0" fillId="6" borderId="13" xfId="0" applyFill="1" applyBorder="1" applyProtection="1">
      <protection locked="0"/>
      <extLst>
        <ext xmlns:xfpb="http://schemas.microsoft.com/office/spreadsheetml/2022/featurepropertybag" uri="{C7286773-470A-42A8-94C5-96B5CB345126}">
          <xfpb:xfComplement i="0"/>
        </ext>
      </extLst>
    </xf>
    <xf numFmtId="0" fontId="6" fillId="7" borderId="0" xfId="3" applyFill="1"/>
    <xf numFmtId="0" fontId="2" fillId="7" borderId="54" xfId="0" applyFont="1" applyFill="1" applyBorder="1"/>
    <xf numFmtId="0" fontId="0" fillId="0" borderId="15" xfId="0" applyBorder="1"/>
    <xf numFmtId="0" fontId="0" fillId="0" borderId="52" xfId="0" applyBorder="1"/>
    <xf numFmtId="0" fontId="2" fillId="0" borderId="0" xfId="0" applyFont="1" applyAlignment="1">
      <alignment wrapText="1"/>
    </xf>
    <xf numFmtId="0" fontId="9" fillId="0" borderId="0" xfId="0" applyFont="1" applyAlignment="1">
      <alignment wrapText="1"/>
    </xf>
    <xf numFmtId="0" fontId="0" fillId="0" borderId="13" xfId="0" applyBorder="1" applyAlignment="1">
      <alignment horizontal="left" vertical="top" wrapText="1"/>
    </xf>
    <xf numFmtId="0" fontId="10" fillId="0" borderId="2" xfId="0" applyFont="1" applyBorder="1" applyAlignment="1">
      <alignment horizontal="center" vertical="center" wrapText="1"/>
    </xf>
    <xf numFmtId="0" fontId="10" fillId="0" borderId="1" xfId="3" applyFont="1" applyFill="1" applyBorder="1" applyAlignment="1">
      <alignment horizontal="center" vertical="center" wrapText="1"/>
    </xf>
    <xf numFmtId="0" fontId="0" fillId="0" borderId="26" xfId="0" applyBorder="1"/>
    <xf numFmtId="0" fontId="10" fillId="0" borderId="39" xfId="0" applyFont="1" applyBorder="1" applyAlignment="1">
      <alignment horizontal="center" vertical="center" wrapText="1"/>
    </xf>
    <xf numFmtId="0" fontId="10" fillId="0" borderId="48" xfId="0" applyFont="1" applyBorder="1" applyAlignment="1">
      <alignment horizontal="center" vertical="center" wrapText="1"/>
    </xf>
    <xf numFmtId="0" fontId="0" fillId="7" borderId="26" xfId="0" applyFill="1" applyBorder="1"/>
    <xf numFmtId="0" fontId="0" fillId="7" borderId="56" xfId="0" applyFill="1" applyBorder="1"/>
    <xf numFmtId="0" fontId="0" fillId="7" borderId="67" xfId="0" applyFill="1" applyBorder="1"/>
    <xf numFmtId="0" fontId="0" fillId="7" borderId="92" xfId="0" applyFill="1" applyBorder="1"/>
    <xf numFmtId="0" fontId="0" fillId="7" borderId="74" xfId="0" applyFill="1" applyBorder="1"/>
    <xf numFmtId="0" fontId="40" fillId="0" borderId="1" xfId="3" applyFont="1" applyFill="1" applyBorder="1" applyAlignment="1" applyProtection="1">
      <alignment horizontal="center" vertical="center" wrapText="1"/>
    </xf>
    <xf numFmtId="0" fontId="40" fillId="0" borderId="48" xfId="3" applyFont="1" applyFill="1" applyBorder="1" applyAlignment="1" applyProtection="1">
      <alignment horizontal="center" vertical="center" wrapText="1"/>
    </xf>
    <xf numFmtId="0" fontId="40" fillId="0" borderId="2" xfId="3" applyFont="1" applyFill="1" applyBorder="1" applyAlignment="1" applyProtection="1">
      <alignment horizontal="center" vertical="center" wrapText="1"/>
    </xf>
    <xf numFmtId="0" fontId="40" fillId="0" borderId="1" xfId="3" applyFont="1" applyFill="1" applyBorder="1" applyAlignment="1">
      <alignment horizontal="center" vertical="center" wrapText="1"/>
    </xf>
    <xf numFmtId="0" fontId="40" fillId="0" borderId="2" xfId="3" applyFont="1" applyFill="1" applyBorder="1" applyAlignment="1">
      <alignment horizontal="center" vertical="center" wrapText="1"/>
    </xf>
    <xf numFmtId="0" fontId="40" fillId="0" borderId="51" xfId="3" applyFont="1" applyFill="1" applyBorder="1" applyAlignment="1" applyProtection="1">
      <alignment horizontal="center" vertical="center" wrapText="1"/>
    </xf>
    <xf numFmtId="0" fontId="40" fillId="0" borderId="1" xfId="3" applyFont="1" applyFill="1" applyBorder="1" applyAlignment="1" applyProtection="1">
      <alignment horizontal="center" vertical="center"/>
    </xf>
    <xf numFmtId="0" fontId="40" fillId="0" borderId="11" xfId="3" applyFont="1" applyFill="1" applyBorder="1" applyAlignment="1" applyProtection="1">
      <alignment horizontal="center" vertical="center"/>
    </xf>
    <xf numFmtId="0" fontId="40" fillId="0" borderId="11" xfId="3" applyFont="1" applyFill="1" applyBorder="1" applyAlignment="1" applyProtection="1">
      <alignment horizontal="center" vertical="center" wrapText="1"/>
    </xf>
    <xf numFmtId="0" fontId="40" fillId="0" borderId="5" xfId="3" applyFont="1" applyFill="1" applyBorder="1" applyAlignment="1" applyProtection="1">
      <alignment horizontal="center" vertical="center" wrapText="1"/>
    </xf>
    <xf numFmtId="0" fontId="40" fillId="0" borderId="47" xfId="3" applyFont="1" applyFill="1" applyBorder="1" applyAlignment="1" applyProtection="1">
      <alignment horizontal="center" vertical="center" wrapText="1"/>
    </xf>
    <xf numFmtId="0" fontId="40" fillId="0" borderId="53" xfId="3" applyFont="1" applyFill="1" applyBorder="1" applyAlignment="1" applyProtection="1">
      <alignment horizontal="center" vertical="center" wrapText="1"/>
    </xf>
    <xf numFmtId="0" fontId="41" fillId="0" borderId="1" xfId="3" applyFont="1" applyFill="1" applyBorder="1" applyAlignment="1" applyProtection="1">
      <alignment horizontal="center" vertical="center" wrapText="1"/>
    </xf>
    <xf numFmtId="0" fontId="40" fillId="0" borderId="46" xfId="3" applyFont="1" applyFill="1" applyBorder="1" applyAlignment="1">
      <alignment horizontal="center" vertical="center" wrapText="1"/>
    </xf>
    <xf numFmtId="0" fontId="40" fillId="0" borderId="11" xfId="3" applyFont="1" applyFill="1" applyBorder="1" applyAlignment="1">
      <alignment horizontal="center" vertical="center" wrapText="1"/>
    </xf>
    <xf numFmtId="0" fontId="4" fillId="0" borderId="1" xfId="0" applyFont="1" applyBorder="1" applyAlignment="1">
      <alignment horizontal="center" vertical="center" wrapText="1"/>
    </xf>
    <xf numFmtId="0" fontId="4" fillId="7" borderId="1"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8" xfId="3" applyFont="1" applyFill="1" applyBorder="1" applyAlignment="1">
      <alignment horizontal="left" wrapText="1"/>
    </xf>
    <xf numFmtId="2" fontId="0" fillId="6" borderId="1" xfId="0" applyNumberFormat="1" applyFill="1" applyBorder="1" applyAlignment="1" applyProtection="1">
      <alignment horizontal="right" vertical="center"/>
      <protection locked="0"/>
    </xf>
    <xf numFmtId="2" fontId="0" fillId="13" borderId="20" xfId="0" applyNumberFormat="1" applyFill="1" applyBorder="1" applyAlignment="1" applyProtection="1">
      <alignment horizontal="right" vertical="center"/>
      <protection locked="0"/>
    </xf>
    <xf numFmtId="2" fontId="0" fillId="13" borderId="6" xfId="2" applyFont="1" applyFill="1" applyBorder="1" applyAlignment="1">
      <alignment horizontal="right" vertical="center"/>
    </xf>
    <xf numFmtId="2" fontId="0" fillId="13" borderId="43" xfId="2" applyFont="1" applyFill="1" applyBorder="1" applyAlignment="1">
      <alignment horizontal="right" vertical="center"/>
    </xf>
    <xf numFmtId="2" fontId="0" fillId="13" borderId="20" xfId="2" applyFont="1" applyFill="1" applyBorder="1" applyAlignment="1">
      <alignment horizontal="right" vertical="center"/>
    </xf>
    <xf numFmtId="2" fontId="0" fillId="6" borderId="1" xfId="0" applyNumberFormat="1" applyFill="1" applyBorder="1" applyAlignment="1" applyProtection="1">
      <alignment horizontal="right"/>
      <protection locked="0"/>
    </xf>
    <xf numFmtId="2" fontId="0" fillId="13" borderId="20" xfId="0" applyNumberFormat="1" applyFill="1" applyBorder="1" applyAlignment="1">
      <alignment horizontal="right" vertical="center"/>
    </xf>
    <xf numFmtId="2" fontId="0" fillId="6" borderId="11" xfId="0" applyNumberFormat="1" applyFill="1" applyBorder="1" applyAlignment="1" applyProtection="1">
      <alignment horizontal="right"/>
      <protection locked="0"/>
    </xf>
    <xf numFmtId="2" fontId="0" fillId="6" borderId="20" xfId="0" applyNumberFormat="1" applyFill="1" applyBorder="1" applyAlignment="1" applyProtection="1">
      <alignment horizontal="right"/>
      <protection locked="0"/>
    </xf>
    <xf numFmtId="2" fontId="0" fillId="6" borderId="14" xfId="0" applyNumberFormat="1" applyFill="1" applyBorder="1" applyAlignment="1" applyProtection="1">
      <alignment horizontal="right"/>
      <protection locked="0"/>
    </xf>
    <xf numFmtId="2" fontId="0" fillId="6" borderId="6" xfId="0" applyNumberFormat="1" applyFill="1" applyBorder="1" applyAlignment="1" applyProtection="1">
      <alignment horizontal="right"/>
      <protection locked="0"/>
    </xf>
    <xf numFmtId="2" fontId="0" fillId="6" borderId="44" xfId="0" applyNumberFormat="1" applyFill="1" applyBorder="1" applyAlignment="1" applyProtection="1">
      <alignment horizontal="right"/>
      <protection locked="0"/>
    </xf>
    <xf numFmtId="2" fontId="0" fillId="6" borderId="51" xfId="0" applyNumberFormat="1" applyFill="1" applyBorder="1" applyAlignment="1" applyProtection="1">
      <alignment horizontal="right"/>
      <protection locked="0"/>
    </xf>
    <xf numFmtId="2" fontId="0" fillId="0" borderId="11" xfId="0" applyNumberFormat="1" applyBorder="1" applyAlignment="1" applyProtection="1">
      <alignment horizontal="right" vertical="center"/>
      <protection locked="0"/>
    </xf>
    <xf numFmtId="2" fontId="0" fillId="0" borderId="14" xfId="0" applyNumberFormat="1" applyBorder="1" applyAlignment="1" applyProtection="1">
      <alignment horizontal="right" vertical="center" wrapText="1"/>
      <protection locked="0"/>
    </xf>
    <xf numFmtId="2" fontId="0" fillId="0" borderId="1" xfId="0" applyNumberFormat="1" applyBorder="1" applyAlignment="1" applyProtection="1">
      <alignment horizontal="right" vertical="center" wrapText="1"/>
      <protection locked="0"/>
    </xf>
    <xf numFmtId="2" fontId="0" fillId="0" borderId="5" xfId="0" applyNumberFormat="1" applyBorder="1" applyAlignment="1" applyProtection="1">
      <alignment horizontal="right" vertical="center" wrapText="1"/>
      <protection locked="0"/>
    </xf>
    <xf numFmtId="2" fontId="0" fillId="13" borderId="51" xfId="0" applyNumberFormat="1" applyFill="1" applyBorder="1" applyAlignment="1">
      <alignment horizontal="right" vertical="center"/>
    </xf>
    <xf numFmtId="2" fontId="0" fillId="0" borderId="1" xfId="0" applyNumberFormat="1" applyBorder="1" applyAlignment="1" applyProtection="1">
      <alignment horizontal="right" vertical="center"/>
      <protection locked="0"/>
    </xf>
    <xf numFmtId="2" fontId="0" fillId="13" borderId="11" xfId="0" applyNumberFormat="1" applyFill="1" applyBorder="1" applyAlignment="1">
      <alignment horizontal="right" vertical="center"/>
    </xf>
    <xf numFmtId="2" fontId="0" fillId="0" borderId="20" xfId="0" applyNumberFormat="1" applyBorder="1" applyAlignment="1" applyProtection="1">
      <alignment horizontal="right"/>
      <protection locked="0"/>
    </xf>
    <xf numFmtId="2" fontId="0" fillId="13" borderId="14" xfId="0" applyNumberFormat="1" applyFill="1" applyBorder="1" applyAlignment="1">
      <alignment horizontal="right" vertical="center"/>
    </xf>
    <xf numFmtId="2" fontId="0" fillId="0" borderId="6" xfId="0" applyNumberFormat="1" applyBorder="1" applyAlignment="1" applyProtection="1">
      <alignment horizontal="right" vertical="center"/>
      <protection locked="0"/>
    </xf>
    <xf numFmtId="2" fontId="0" fillId="13" borderId="44" xfId="0" applyNumberFormat="1" applyFill="1" applyBorder="1" applyAlignment="1">
      <alignment horizontal="right" vertical="center"/>
    </xf>
    <xf numFmtId="2" fontId="0" fillId="0" borderId="20" xfId="0" applyNumberFormat="1" applyBorder="1" applyAlignment="1" applyProtection="1">
      <alignment horizontal="right" vertical="center"/>
      <protection locked="0"/>
    </xf>
    <xf numFmtId="0" fontId="0" fillId="13" borderId="14" xfId="0" applyFill="1" applyBorder="1" applyAlignment="1">
      <alignment horizontal="right" vertical="center"/>
    </xf>
    <xf numFmtId="2" fontId="0" fillId="6" borderId="11" xfId="0" applyNumberFormat="1" applyFill="1" applyBorder="1" applyAlignment="1" applyProtection="1">
      <alignment horizontal="right" vertical="center"/>
      <protection locked="0"/>
    </xf>
    <xf numFmtId="2" fontId="0" fillId="6" borderId="51" xfId="0" applyNumberFormat="1" applyFill="1" applyBorder="1" applyAlignment="1" applyProtection="1">
      <alignment horizontal="right" vertical="center"/>
      <protection locked="0"/>
    </xf>
    <xf numFmtId="2" fontId="0" fillId="6" borderId="9" xfId="0" applyNumberFormat="1" applyFill="1" applyBorder="1" applyAlignment="1" applyProtection="1">
      <alignment horizontal="right" vertical="center"/>
      <protection locked="0"/>
    </xf>
    <xf numFmtId="2" fontId="0" fillId="6" borderId="58" xfId="0" applyNumberFormat="1" applyFill="1" applyBorder="1" applyAlignment="1" applyProtection="1">
      <alignment horizontal="right" vertical="center"/>
      <protection locked="0"/>
    </xf>
    <xf numFmtId="2" fontId="0" fillId="6" borderId="44" xfId="0" applyNumberFormat="1" applyFill="1" applyBorder="1" applyAlignment="1" applyProtection="1">
      <alignment horizontal="right" vertical="center"/>
      <protection locked="0"/>
    </xf>
    <xf numFmtId="2" fontId="0" fillId="6" borderId="14" xfId="0" applyNumberFormat="1" applyFill="1" applyBorder="1" applyAlignment="1" applyProtection="1">
      <alignment horizontal="right" vertical="center"/>
      <protection locked="0"/>
    </xf>
    <xf numFmtId="2" fontId="0" fillId="13" borderId="58" xfId="0" applyNumberFormat="1" applyFill="1" applyBorder="1" applyAlignment="1">
      <alignment horizontal="right" vertical="center" wrapText="1"/>
    </xf>
    <xf numFmtId="9" fontId="0" fillId="19" borderId="11" xfId="1" applyFont="1" applyFill="1" applyBorder="1" applyAlignment="1" applyProtection="1">
      <alignment horizontal="right"/>
    </xf>
    <xf numFmtId="0" fontId="2" fillId="0" borderId="1" xfId="0" applyFont="1" applyBorder="1" applyAlignment="1">
      <alignment horizontal="center" vertical="center" wrapText="1"/>
    </xf>
    <xf numFmtId="0" fontId="9" fillId="6" borderId="11" xfId="3" applyFont="1" applyFill="1" applyBorder="1" applyAlignment="1" applyProtection="1">
      <alignment horizontal="left" vertical="top" wrapText="1"/>
      <protection locked="0"/>
    </xf>
    <xf numFmtId="2" fontId="9" fillId="6" borderId="11" xfId="3" applyNumberFormat="1" applyFont="1" applyFill="1" applyBorder="1" applyAlignment="1" applyProtection="1">
      <alignment horizontal="right" vertical="top"/>
      <protection locked="0"/>
    </xf>
    <xf numFmtId="0" fontId="1" fillId="6" borderId="14" xfId="0" applyFont="1" applyFill="1" applyBorder="1" applyAlignment="1" applyProtection="1">
      <alignment horizontal="left" vertical="top"/>
      <protection locked="0"/>
    </xf>
    <xf numFmtId="2" fontId="0" fillId="13" borderId="11" xfId="2" applyFont="1" applyFill="1" applyBorder="1" applyAlignment="1">
      <alignment horizontal="right"/>
    </xf>
    <xf numFmtId="2" fontId="0" fillId="13" borderId="14" xfId="2" applyFont="1" applyFill="1" applyBorder="1" applyAlignment="1">
      <alignment horizontal="right"/>
    </xf>
    <xf numFmtId="2" fontId="0" fillId="17" borderId="6" xfId="0" applyNumberFormat="1" applyFill="1" applyBorder="1"/>
    <xf numFmtId="2" fontId="0" fillId="17" borderId="43" xfId="0" applyNumberFormat="1" applyFill="1" applyBorder="1"/>
    <xf numFmtId="2" fontId="0" fillId="17" borderId="2" xfId="0" applyNumberFormat="1" applyFill="1" applyBorder="1"/>
    <xf numFmtId="2" fontId="21" fillId="17" borderId="2" xfId="0" applyNumberFormat="1" applyFont="1" applyFill="1" applyBorder="1" applyAlignment="1">
      <alignment horizontal="right"/>
    </xf>
    <xf numFmtId="2" fontId="0" fillId="17" borderId="1" xfId="0" applyNumberFormat="1" applyFill="1" applyBorder="1"/>
    <xf numFmtId="2" fontId="2" fillId="17" borderId="2" xfId="0" applyNumberFormat="1" applyFont="1" applyFill="1" applyBorder="1"/>
    <xf numFmtId="2" fontId="0" fillId="17" borderId="48" xfId="0" applyNumberFormat="1" applyFill="1" applyBorder="1"/>
    <xf numFmtId="2" fontId="0" fillId="17" borderId="46" xfId="0" applyNumberFormat="1" applyFill="1" applyBorder="1"/>
    <xf numFmtId="0" fontId="2" fillId="0" borderId="71" xfId="0" applyFont="1" applyBorder="1" applyAlignment="1">
      <alignment horizontal="left" vertical="center"/>
    </xf>
    <xf numFmtId="0" fontId="0" fillId="7" borderId="26" xfId="0" applyFill="1" applyBorder="1" applyAlignment="1">
      <alignment horizontal="center"/>
    </xf>
    <xf numFmtId="2" fontId="0" fillId="20" borderId="11" xfId="0" applyNumberFormat="1" applyFill="1" applyBorder="1" applyAlignment="1">
      <alignment horizontal="center"/>
    </xf>
    <xf numFmtId="0" fontId="0" fillId="0" borderId="26" xfId="0" applyBorder="1" applyAlignment="1">
      <alignment horizontal="center"/>
    </xf>
    <xf numFmtId="0" fontId="9" fillId="7" borderId="52" xfId="3" quotePrefix="1" applyFont="1" applyFill="1" applyBorder="1" applyAlignment="1" applyProtection="1">
      <alignment horizontal="left"/>
    </xf>
    <xf numFmtId="0" fontId="6" fillId="7" borderId="5" xfId="3" quotePrefix="1" applyFill="1" applyBorder="1" applyAlignment="1" applyProtection="1">
      <alignment horizontal="left"/>
    </xf>
    <xf numFmtId="0" fontId="6" fillId="7" borderId="47" xfId="3" quotePrefix="1" applyFill="1" applyBorder="1" applyAlignment="1" applyProtection="1">
      <alignment horizontal="left"/>
    </xf>
    <xf numFmtId="0" fontId="0" fillId="13" borderId="0" xfId="0" applyFill="1" applyAlignment="1">
      <alignment wrapText="1"/>
    </xf>
    <xf numFmtId="0" fontId="0" fillId="5" borderId="0" xfId="0" applyFill="1" applyAlignment="1">
      <alignment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26" fillId="0" borderId="1" xfId="0" applyFont="1" applyBorder="1" applyAlignment="1">
      <alignment horizontal="center" vertical="center"/>
    </xf>
    <xf numFmtId="0" fontId="2" fillId="0" borderId="50" xfId="0" applyFont="1" applyBorder="1" applyAlignment="1">
      <alignment horizontal="center" vertical="center" wrapText="1"/>
    </xf>
    <xf numFmtId="0" fontId="2" fillId="0" borderId="50" xfId="0" applyFont="1" applyBorder="1" applyAlignment="1">
      <alignment horizontal="left" vertical="center"/>
    </xf>
    <xf numFmtId="0" fontId="2" fillId="0" borderId="55" xfId="0" applyFont="1" applyBorder="1" applyAlignment="1">
      <alignment horizontal="center" vertical="center" wrapText="1"/>
    </xf>
    <xf numFmtId="0" fontId="0" fillId="0" borderId="0" xfId="0" applyAlignment="1">
      <alignment indent="1"/>
    </xf>
    <xf numFmtId="0" fontId="0" fillId="0" borderId="0" xfId="0" applyAlignment="1">
      <alignment indent="3"/>
    </xf>
    <xf numFmtId="0" fontId="0" fillId="0" borderId="0" xfId="0" applyAlignment="1">
      <alignment indent="2"/>
    </xf>
    <xf numFmtId="2" fontId="0" fillId="0" borderId="0" xfId="0" applyNumberFormat="1"/>
    <xf numFmtId="0" fontId="0" fillId="0" borderId="0" xfId="0" applyAlignment="1">
      <alignment indent="4"/>
    </xf>
    <xf numFmtId="0" fontId="0" fillId="0" borderId="0" xfId="0" applyAlignment="1">
      <alignment indent="5"/>
    </xf>
    <xf numFmtId="0" fontId="16" fillId="0" borderId="0" xfId="0" applyFont="1"/>
    <xf numFmtId="14" fontId="16" fillId="0" borderId="0" xfId="0" applyNumberFormat="1" applyFont="1" applyAlignment="1">
      <alignment horizontal="left"/>
    </xf>
    <xf numFmtId="0" fontId="0" fillId="11" borderId="0" xfId="0" applyFill="1"/>
    <xf numFmtId="0" fontId="6" fillId="0" borderId="0" xfId="3" applyProtection="1"/>
    <xf numFmtId="0" fontId="15" fillId="11" borderId="0" xfId="0" applyFont="1" applyFill="1"/>
    <xf numFmtId="0" fontId="15" fillId="0" borderId="0" xfId="0" applyFont="1"/>
    <xf numFmtId="0" fontId="22" fillId="11" borderId="0" xfId="0" applyFont="1" applyFill="1" applyAlignment="1">
      <alignment vertical="center" wrapText="1"/>
    </xf>
    <xf numFmtId="0" fontId="19" fillId="11" borderId="0" xfId="0" applyFont="1" applyFill="1" applyAlignment="1">
      <alignment horizontal="left" vertical="center" wrapText="1"/>
    </xf>
    <xf numFmtId="0" fontId="27" fillId="11" borderId="46" xfId="0" applyFont="1" applyFill="1" applyBorder="1"/>
    <xf numFmtId="0" fontId="18" fillId="0" borderId="5" xfId="0" applyFont="1" applyBorder="1"/>
    <xf numFmtId="0" fontId="18" fillId="0" borderId="53" xfId="0" applyFont="1" applyBorder="1"/>
    <xf numFmtId="0" fontId="18" fillId="0" borderId="0" xfId="0" applyFont="1"/>
    <xf numFmtId="0" fontId="18" fillId="11" borderId="0" xfId="0" applyFont="1" applyFill="1" applyAlignment="1">
      <alignment vertical="center" wrapText="1"/>
    </xf>
    <xf numFmtId="0" fontId="18" fillId="11" borderId="0" xfId="0" applyFont="1" applyFill="1" applyAlignment="1">
      <alignment vertical="top" wrapText="1"/>
    </xf>
    <xf numFmtId="0" fontId="0" fillId="0" borderId="0" xfId="0" applyAlignment="1">
      <alignment vertical="top"/>
    </xf>
    <xf numFmtId="0" fontId="27" fillId="0" borderId="0" xfId="0" applyFont="1" applyAlignment="1">
      <alignment vertical="center"/>
    </xf>
    <xf numFmtId="0" fontId="27" fillId="21" borderId="2" xfId="0" applyFont="1" applyFill="1" applyBorder="1" applyAlignment="1">
      <alignment horizontal="left" vertical="center"/>
    </xf>
    <xf numFmtId="0" fontId="14" fillId="0" borderId="0" xfId="0" applyFont="1" applyAlignment="1">
      <alignment horizontal="center" vertical="center"/>
    </xf>
    <xf numFmtId="0" fontId="27" fillId="12" borderId="2" xfId="0" applyFont="1" applyFill="1" applyBorder="1" applyAlignment="1">
      <alignment horizontal="left" vertical="center"/>
    </xf>
    <xf numFmtId="0" fontId="18" fillId="0" borderId="0" xfId="0" applyFont="1" applyAlignment="1">
      <alignment vertical="center"/>
    </xf>
    <xf numFmtId="0" fontId="27" fillId="4" borderId="2" xfId="0" applyFont="1" applyFill="1" applyBorder="1" applyAlignment="1">
      <alignment horizontal="left" vertical="center"/>
    </xf>
    <xf numFmtId="0" fontId="28" fillId="13" borderId="2" xfId="0" applyFont="1" applyFill="1" applyBorder="1" applyAlignment="1">
      <alignment horizontal="left" vertical="center" wrapText="1"/>
    </xf>
    <xf numFmtId="0" fontId="18" fillId="0" borderId="0" xfId="0" applyFont="1" applyAlignment="1">
      <alignment vertical="center" wrapText="1"/>
    </xf>
    <xf numFmtId="0" fontId="28" fillId="19" borderId="2" xfId="0" applyFont="1" applyFill="1" applyBorder="1" applyAlignment="1">
      <alignment horizontal="left" vertical="center" wrapText="1"/>
    </xf>
    <xf numFmtId="0" fontId="28" fillId="6" borderId="2" xfId="0" applyFont="1" applyFill="1" applyBorder="1" applyAlignment="1">
      <alignment horizontal="left" vertical="center" wrapText="1"/>
    </xf>
    <xf numFmtId="0" fontId="27" fillId="10" borderId="2" xfId="0" applyFont="1" applyFill="1" applyBorder="1" applyAlignment="1">
      <alignment horizontal="left" vertical="center" wrapText="1"/>
    </xf>
    <xf numFmtId="0" fontId="27" fillId="9" borderId="2" xfId="0" applyFont="1" applyFill="1" applyBorder="1" applyAlignment="1">
      <alignment horizontal="left" vertical="center"/>
    </xf>
    <xf numFmtId="0" fontId="19" fillId="7" borderId="68" xfId="0" applyFont="1" applyFill="1" applyBorder="1" applyAlignment="1">
      <alignment horizontal="left" vertical="center"/>
    </xf>
    <xf numFmtId="0" fontId="27" fillId="0" borderId="43" xfId="0" applyFont="1" applyBorder="1" applyAlignment="1">
      <alignment horizontal="left" vertical="center"/>
    </xf>
    <xf numFmtId="0" fontId="18" fillId="0" borderId="0" xfId="0" applyFont="1" applyAlignment="1">
      <alignment horizontal="left" vertical="center" wrapText="1"/>
    </xf>
    <xf numFmtId="0" fontId="0" fillId="7" borderId="28" xfId="0" applyFill="1" applyBorder="1"/>
    <xf numFmtId="0" fontId="35" fillId="0" borderId="42" xfId="0" applyFont="1" applyBorder="1" applyAlignment="1">
      <alignment horizontal="center"/>
    </xf>
    <xf numFmtId="0" fontId="36" fillId="7" borderId="25" xfId="0" applyFont="1" applyFill="1" applyBorder="1" applyAlignment="1">
      <alignment horizontal="center"/>
    </xf>
    <xf numFmtId="0" fontId="2" fillId="7" borderId="11" xfId="0" applyFont="1" applyFill="1" applyBorder="1" applyAlignment="1">
      <alignment horizontal="center" vertical="center"/>
    </xf>
    <xf numFmtId="0" fontId="0" fillId="7" borderId="30" xfId="0" applyFill="1" applyBorder="1" applyAlignment="1">
      <alignment horizontal="center" vertical="center"/>
    </xf>
    <xf numFmtId="0" fontId="35" fillId="0" borderId="51" xfId="0" applyFont="1" applyBorder="1" applyAlignment="1">
      <alignment horizontal="center" vertical="center"/>
    </xf>
    <xf numFmtId="0" fontId="7" fillId="7" borderId="39" xfId="3" applyFont="1" applyFill="1" applyBorder="1" applyProtection="1"/>
    <xf numFmtId="0" fontId="2" fillId="6" borderId="51" xfId="0" applyFont="1" applyFill="1" applyBorder="1" applyAlignment="1">
      <alignment horizontal="center" vertical="center"/>
    </xf>
    <xf numFmtId="0" fontId="6" fillId="7" borderId="90" xfId="3" quotePrefix="1" applyFill="1" applyBorder="1" applyAlignment="1" applyProtection="1">
      <alignment wrapText="1"/>
    </xf>
    <xf numFmtId="0" fontId="2" fillId="7" borderId="85" xfId="0" applyFont="1" applyFill="1" applyBorder="1" applyAlignment="1">
      <alignment horizontal="center" vertical="center"/>
    </xf>
    <xf numFmtId="0" fontId="6" fillId="7" borderId="30" xfId="3" quotePrefix="1" applyFill="1" applyBorder="1" applyAlignment="1" applyProtection="1">
      <alignment wrapText="1"/>
    </xf>
    <xf numFmtId="0" fontId="38" fillId="7" borderId="25" xfId="0" applyFont="1" applyFill="1" applyBorder="1" applyAlignment="1">
      <alignment wrapText="1"/>
    </xf>
    <xf numFmtId="0" fontId="2" fillId="6" borderId="85" xfId="0" applyFont="1" applyFill="1" applyBorder="1" applyAlignment="1">
      <alignment horizontal="center" vertical="center"/>
    </xf>
    <xf numFmtId="0" fontId="6" fillId="7" borderId="25" xfId="3" applyFill="1" applyBorder="1" applyAlignment="1" applyProtection="1">
      <alignment wrapText="1"/>
    </xf>
    <xf numFmtId="0" fontId="6" fillId="7" borderId="25" xfId="3" quotePrefix="1" applyFill="1" applyBorder="1" applyAlignment="1" applyProtection="1">
      <alignment wrapText="1"/>
    </xf>
    <xf numFmtId="0" fontId="7" fillId="7" borderId="39" xfId="3" applyFont="1" applyFill="1" applyBorder="1" applyAlignment="1" applyProtection="1">
      <alignment wrapText="1"/>
    </xf>
    <xf numFmtId="0" fontId="6" fillId="7" borderId="90" xfId="3" applyFill="1" applyBorder="1" applyAlignment="1" applyProtection="1">
      <alignment wrapText="1"/>
    </xf>
    <xf numFmtId="0" fontId="2" fillId="0" borderId="85" xfId="0" applyFont="1" applyBorder="1" applyAlignment="1">
      <alignment horizontal="center" vertical="center"/>
    </xf>
    <xf numFmtId="0" fontId="2" fillId="7" borderId="44" xfId="0" applyFont="1" applyFill="1" applyBorder="1" applyAlignment="1">
      <alignment horizontal="center" vertical="center"/>
    </xf>
    <xf numFmtId="0" fontId="7" fillId="7" borderId="25" xfId="3" applyFont="1" applyFill="1" applyBorder="1" applyAlignment="1" applyProtection="1">
      <alignment wrapText="1"/>
    </xf>
    <xf numFmtId="0" fontId="6" fillId="7" borderId="49" xfId="3" quotePrefix="1" applyFill="1" applyBorder="1" applyAlignment="1" applyProtection="1">
      <alignment wrapText="1"/>
    </xf>
    <xf numFmtId="0" fontId="7" fillId="7" borderId="25" xfId="3" quotePrefix="1" applyFont="1" applyFill="1" applyBorder="1" applyAlignment="1" applyProtection="1">
      <alignment wrapText="1"/>
    </xf>
    <xf numFmtId="0" fontId="6" fillId="7" borderId="45" xfId="3" quotePrefix="1" applyFill="1" applyBorder="1" applyAlignment="1" applyProtection="1">
      <alignment wrapText="1"/>
    </xf>
    <xf numFmtId="0" fontId="2" fillId="7" borderId="58" xfId="0" applyFont="1" applyFill="1" applyBorder="1" applyAlignment="1">
      <alignment horizontal="center" vertical="center"/>
    </xf>
    <xf numFmtId="0" fontId="0" fillId="7" borderId="49" xfId="0" applyFill="1" applyBorder="1"/>
    <xf numFmtId="0" fontId="0" fillId="7" borderId="10" xfId="0" applyFill="1" applyBorder="1"/>
    <xf numFmtId="0" fontId="9" fillId="7" borderId="10" xfId="0" applyFont="1" applyFill="1" applyBorder="1"/>
    <xf numFmtId="0" fontId="0" fillId="7" borderId="52" xfId="0" applyFill="1" applyBorder="1"/>
    <xf numFmtId="0" fontId="0" fillId="19" borderId="56" xfId="0"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4" fontId="2" fillId="0" borderId="0" xfId="0" quotePrefix="1" applyNumberFormat="1" applyFont="1" applyAlignment="1">
      <alignment horizontal="center" vertical="center"/>
    </xf>
    <xf numFmtId="0" fontId="0" fillId="0" borderId="49" xfId="0" applyBorder="1" applyProtection="1">
      <protection locked="0"/>
    </xf>
    <xf numFmtId="0" fontId="0" fillId="0" borderId="39" xfId="0" applyBorder="1" applyProtection="1">
      <protection locked="0"/>
    </xf>
    <xf numFmtId="0" fontId="0" fillId="0" borderId="10" xfId="0" applyBorder="1" applyProtection="1">
      <protection locked="0"/>
    </xf>
    <xf numFmtId="0" fontId="0" fillId="0" borderId="12" xfId="0" applyBorder="1" applyProtection="1">
      <protection locked="0"/>
    </xf>
    <xf numFmtId="0" fontId="0" fillId="0" borderId="1" xfId="0" applyBorder="1" applyAlignment="1" applyProtection="1">
      <alignment horizontal="center" wrapText="1"/>
      <protection locked="0"/>
    </xf>
    <xf numFmtId="2" fontId="0" fillId="6" borderId="1" xfId="0" applyNumberFormat="1" applyFill="1" applyBorder="1" applyAlignment="1" applyProtection="1">
      <alignment horizontal="right" vertical="center"/>
      <protection locked="0"/>
    </xf>
    <xf numFmtId="0" fontId="0" fillId="0" borderId="18" xfId="0" applyBorder="1" applyAlignment="1" applyProtection="1">
      <alignment wrapText="1"/>
      <protection locked="0"/>
    </xf>
    <xf numFmtId="0" fontId="19" fillId="11" borderId="55" xfId="0" applyFont="1" applyFill="1" applyBorder="1" applyAlignment="1">
      <alignment horizontal="left" wrapText="1"/>
    </xf>
    <xf numFmtId="0" fontId="19" fillId="11" borderId="0" xfId="0" applyFont="1" applyFill="1" applyAlignment="1">
      <alignment horizontal="left" wrapText="1"/>
    </xf>
    <xf numFmtId="0" fontId="19" fillId="11" borderId="54" xfId="0" applyFont="1" applyFill="1" applyBorder="1" applyAlignment="1">
      <alignment horizontal="left" wrapText="1"/>
    </xf>
    <xf numFmtId="0" fontId="19" fillId="11" borderId="43" xfId="0" applyFont="1" applyFill="1" applyBorder="1" applyAlignment="1">
      <alignment horizontal="left" wrapText="1"/>
    </xf>
    <xf numFmtId="0" fontId="19" fillId="11" borderId="41" xfId="0" applyFont="1" applyFill="1" applyBorder="1" applyAlignment="1">
      <alignment horizontal="left" wrapText="1"/>
    </xf>
    <xf numFmtId="0" fontId="19" fillId="11" borderId="40" xfId="0" applyFont="1" applyFill="1" applyBorder="1" applyAlignment="1">
      <alignment horizontal="left" wrapText="1"/>
    </xf>
    <xf numFmtId="0" fontId="0" fillId="0" borderId="46" xfId="0" applyBorder="1" applyAlignment="1">
      <alignment horizontal="center"/>
    </xf>
    <xf numFmtId="0" fontId="0" fillId="0" borderId="5" xfId="0" applyBorder="1" applyAlignment="1">
      <alignment horizontal="center"/>
    </xf>
    <xf numFmtId="0" fontId="0" fillId="0" borderId="53" xfId="0" applyBorder="1" applyAlignment="1">
      <alignment horizontal="center"/>
    </xf>
    <xf numFmtId="0" fontId="18" fillId="11" borderId="55" xfId="0" applyFont="1" applyFill="1" applyBorder="1" applyAlignment="1">
      <alignment horizontal="left" vertical="center" wrapText="1"/>
    </xf>
    <xf numFmtId="0" fontId="18" fillId="11" borderId="0" xfId="0" applyFont="1" applyFill="1" applyAlignment="1">
      <alignment horizontal="left" vertical="center" wrapText="1"/>
    </xf>
    <xf numFmtId="0" fontId="18" fillId="11" borderId="54" xfId="0" applyFont="1" applyFill="1" applyBorder="1" applyAlignment="1">
      <alignment horizontal="left" vertical="center" wrapText="1"/>
    </xf>
    <xf numFmtId="0" fontId="18" fillId="11" borderId="55" xfId="0" applyFont="1" applyFill="1" applyBorder="1" applyAlignment="1">
      <alignment horizontal="left" vertical="top" wrapText="1"/>
    </xf>
    <xf numFmtId="0" fontId="18" fillId="11" borderId="0" xfId="0" applyFont="1" applyFill="1" applyAlignment="1">
      <alignment horizontal="left" vertical="top" wrapText="1"/>
    </xf>
    <xf numFmtId="0" fontId="18" fillId="11" borderId="54" xfId="0" applyFont="1" applyFill="1" applyBorder="1" applyAlignment="1">
      <alignment horizontal="left" vertical="top"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9" fillId="11" borderId="2" xfId="0" applyFont="1" applyFill="1" applyBorder="1" applyAlignment="1">
      <alignment horizontal="left" vertical="center" wrapText="1"/>
    </xf>
    <xf numFmtId="0" fontId="19" fillId="11" borderId="3" xfId="0" applyFont="1" applyFill="1" applyBorder="1" applyAlignment="1">
      <alignment horizontal="left" vertical="center" wrapText="1"/>
    </xf>
    <xf numFmtId="0" fontId="19" fillId="11" borderId="4" xfId="0" applyFont="1" applyFill="1" applyBorder="1" applyAlignment="1">
      <alignment horizontal="left" vertical="center" wrapText="1"/>
    </xf>
    <xf numFmtId="0" fontId="18" fillId="11" borderId="43" xfId="0" applyFont="1" applyFill="1" applyBorder="1" applyAlignment="1">
      <alignment horizontal="left" vertical="top" wrapText="1"/>
    </xf>
    <xf numFmtId="0" fontId="18" fillId="11" borderId="41" xfId="0" applyFont="1" applyFill="1" applyBorder="1" applyAlignment="1">
      <alignment horizontal="left" vertical="top" wrapText="1"/>
    </xf>
    <xf numFmtId="0" fontId="18" fillId="11" borderId="40" xfId="0" applyFont="1" applyFill="1" applyBorder="1" applyAlignment="1">
      <alignment horizontal="left" vertical="top" wrapText="1"/>
    </xf>
    <xf numFmtId="0" fontId="40" fillId="0" borderId="18" xfId="3" applyFont="1" applyBorder="1" applyAlignment="1">
      <alignment horizontal="center"/>
    </xf>
    <xf numFmtId="0" fontId="40" fillId="0" borderId="11" xfId="3" applyFont="1" applyBorder="1" applyAlignment="1">
      <alignment horizontal="center"/>
    </xf>
    <xf numFmtId="0" fontId="4" fillId="19" borderId="18" xfId="0" applyFont="1" applyFill="1" applyBorder="1" applyAlignment="1">
      <alignment horizontal="left" vertical="center"/>
    </xf>
    <xf numFmtId="0" fontId="4" fillId="19" borderId="1" xfId="0" applyFont="1" applyFill="1" applyBorder="1" applyAlignment="1">
      <alignment horizontal="left" vertical="center"/>
    </xf>
    <xf numFmtId="0" fontId="0" fillId="19" borderId="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1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4" borderId="28"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6" borderId="2" xfId="0" applyFill="1" applyBorder="1" applyAlignment="1" applyProtection="1">
      <alignment horizontal="left" vertical="center" wrapText="1"/>
      <protection locked="0"/>
    </xf>
    <xf numFmtId="0" fontId="0" fillId="6" borderId="3" xfId="0" applyFill="1" applyBorder="1" applyAlignment="1" applyProtection="1">
      <alignment horizontal="left" vertical="center" wrapText="1"/>
      <protection locked="0"/>
    </xf>
    <xf numFmtId="0" fontId="0" fillId="6" borderId="21" xfId="0" applyFill="1" applyBorder="1" applyAlignment="1" applyProtection="1">
      <alignment horizontal="left" vertical="center" wrapText="1"/>
      <protection locked="0"/>
    </xf>
    <xf numFmtId="0" fontId="0" fillId="6" borderId="37" xfId="0" applyFill="1" applyBorder="1" applyAlignment="1" applyProtection="1">
      <alignment horizontal="left" vertical="center" wrapText="1"/>
      <protection locked="0"/>
    </xf>
    <xf numFmtId="0" fontId="0" fillId="6" borderId="27" xfId="0" applyFill="1" applyBorder="1" applyAlignment="1" applyProtection="1">
      <alignment horizontal="left" vertical="center" wrapText="1"/>
      <protection locked="0"/>
    </xf>
    <xf numFmtId="0" fontId="0" fillId="6" borderId="36" xfId="0" applyFill="1" applyBorder="1" applyAlignment="1" applyProtection="1">
      <alignment horizontal="left" vertical="center" wrapText="1"/>
      <protection locked="0"/>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0" fillId="0" borderId="18"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0" fillId="0" borderId="4" xfId="0" applyBorder="1" applyAlignment="1">
      <alignment horizontal="left" vertical="center" wrapText="1"/>
    </xf>
    <xf numFmtId="0" fontId="2" fillId="0" borderId="0" xfId="0" applyFont="1" applyAlignment="1">
      <alignment horizontal="center" vertical="center" wrapText="1"/>
    </xf>
    <xf numFmtId="0" fontId="2" fillId="3" borderId="15" xfId="0" applyFont="1" applyFill="1" applyBorder="1" applyAlignment="1">
      <alignment horizontal="center"/>
    </xf>
    <xf numFmtId="0" fontId="2" fillId="3" borderId="16" xfId="0" applyFont="1" applyFill="1" applyBorder="1" applyAlignment="1">
      <alignment horizontal="center"/>
    </xf>
    <xf numFmtId="0" fontId="2" fillId="3" borderId="17" xfId="0" applyFont="1" applyFill="1" applyBorder="1" applyAlignment="1">
      <alignment horizontal="center"/>
    </xf>
    <xf numFmtId="0" fontId="0" fillId="0" borderId="18" xfId="0" applyBorder="1" applyAlignment="1">
      <alignment vertical="center" wrapText="1"/>
    </xf>
    <xf numFmtId="0" fontId="0" fillId="0" borderId="1" xfId="0" applyBorder="1" applyAlignment="1">
      <alignment vertical="center" wrapText="1"/>
    </xf>
    <xf numFmtId="0" fontId="4" fillId="19" borderId="39" xfId="0" applyFont="1" applyFill="1" applyBorder="1" applyAlignment="1">
      <alignment horizontal="left" vertical="center" wrapText="1"/>
    </xf>
    <xf numFmtId="0" fontId="4" fillId="19" borderId="90" xfId="0" applyFont="1" applyFill="1" applyBorder="1" applyAlignment="1">
      <alignment horizontal="left" vertical="center" wrapText="1"/>
    </xf>
    <xf numFmtId="0" fontId="4" fillId="19" borderId="10" xfId="0" applyFont="1" applyFill="1" applyBorder="1" applyAlignment="1">
      <alignment horizontal="left" vertical="center" wrapText="1"/>
    </xf>
    <xf numFmtId="0" fontId="4" fillId="19" borderId="4" xfId="0" applyFont="1" applyFill="1" applyBorder="1" applyAlignment="1">
      <alignment horizontal="left" vertical="center" wrapText="1"/>
    </xf>
    <xf numFmtId="0" fontId="0" fillId="19" borderId="2"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3"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2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0" fillId="0" borderId="10" xfId="3" applyFont="1" applyFill="1" applyBorder="1" applyAlignment="1" applyProtection="1">
      <alignment horizontal="center" vertical="center" wrapText="1"/>
    </xf>
    <xf numFmtId="0" fontId="40" fillId="0" borderId="3" xfId="3" applyFont="1" applyFill="1" applyBorder="1" applyAlignment="1" applyProtection="1">
      <alignment horizontal="center" vertical="center" wrapText="1"/>
    </xf>
    <xf numFmtId="0" fontId="40" fillId="0" borderId="21" xfId="3" applyFont="1" applyFill="1" applyBorder="1" applyAlignment="1" applyProtection="1">
      <alignment horizontal="center" vertical="center" wrapText="1"/>
    </xf>
    <xf numFmtId="0" fontId="40" fillId="0" borderId="10" xfId="3" applyFont="1" applyFill="1" applyBorder="1" applyAlignment="1" applyProtection="1">
      <alignment horizontal="center" vertical="center"/>
    </xf>
    <xf numFmtId="0" fontId="40" fillId="0" borderId="3" xfId="3" applyFont="1" applyFill="1" applyBorder="1" applyAlignment="1" applyProtection="1">
      <alignment horizontal="center" vertical="center"/>
    </xf>
    <xf numFmtId="0" fontId="40" fillId="0" borderId="21" xfId="3" applyFont="1" applyFill="1" applyBorder="1" applyAlignment="1" applyProtection="1">
      <alignment horizontal="center" vertical="center"/>
    </xf>
    <xf numFmtId="0" fontId="2" fillId="12" borderId="7" xfId="0" applyFont="1" applyFill="1" applyBorder="1" applyAlignment="1">
      <alignment horizontal="center" vertical="center"/>
    </xf>
    <xf numFmtId="0" fontId="2" fillId="12" borderId="9" xfId="0" applyFont="1" applyFill="1" applyBorder="1" applyAlignment="1">
      <alignment horizontal="center" vertic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 fillId="3" borderId="31" xfId="0" applyFont="1" applyFill="1" applyBorder="1" applyAlignment="1">
      <alignment horizontal="center"/>
    </xf>
    <xf numFmtId="0" fontId="40" fillId="0" borderId="25" xfId="3" applyFont="1" applyFill="1" applyBorder="1" applyAlignment="1" applyProtection="1">
      <alignment horizontal="center" vertical="center" wrapText="1"/>
    </xf>
    <xf numFmtId="0" fontId="40" fillId="0" borderId="0" xfId="3" applyFont="1" applyFill="1" applyBorder="1" applyAlignment="1" applyProtection="1">
      <alignment horizontal="center" vertical="center" wrapText="1"/>
    </xf>
    <xf numFmtId="0" fontId="40" fillId="0" borderId="26" xfId="3" applyFont="1" applyFill="1" applyBorder="1" applyAlignment="1" applyProtection="1">
      <alignment horizontal="center" vertical="center" wrapText="1"/>
    </xf>
    <xf numFmtId="0" fontId="2" fillId="15" borderId="7" xfId="0" applyFont="1" applyFill="1" applyBorder="1" applyAlignment="1">
      <alignment horizontal="center"/>
    </xf>
    <xf numFmtId="0" fontId="2" fillId="15" borderId="8" xfId="0" applyFont="1" applyFill="1" applyBorder="1" applyAlignment="1">
      <alignment horizontal="center"/>
    </xf>
    <xf numFmtId="0" fontId="2" fillId="15" borderId="9" xfId="0" applyFont="1" applyFill="1" applyBorder="1" applyAlignment="1">
      <alignment horizontal="center"/>
    </xf>
    <xf numFmtId="0" fontId="0" fillId="0" borderId="32" xfId="0" applyBorder="1" applyAlignment="1">
      <alignment horizontal="left" vertical="top" wrapText="1"/>
    </xf>
    <xf numFmtId="0" fontId="0" fillId="0" borderId="57" xfId="0" applyBorder="1" applyAlignment="1">
      <alignment horizontal="left" vertical="top" wrapText="1"/>
    </xf>
    <xf numFmtId="0" fontId="2" fillId="21" borderId="15" xfId="0" applyFont="1" applyFill="1" applyBorder="1" applyAlignment="1">
      <alignment horizontal="center"/>
    </xf>
    <xf numFmtId="0" fontId="2" fillId="21" borderId="16" xfId="0" applyFont="1" applyFill="1" applyBorder="1" applyAlignment="1">
      <alignment horizontal="center"/>
    </xf>
    <xf numFmtId="0" fontId="2" fillId="21" borderId="17" xfId="0" applyFont="1" applyFill="1" applyBorder="1" applyAlignment="1">
      <alignment horizontal="center"/>
    </xf>
    <xf numFmtId="0" fontId="0" fillId="0" borderId="18" xfId="0" applyBorder="1" applyAlignment="1">
      <alignment vertical="center"/>
    </xf>
    <xf numFmtId="0" fontId="0" fillId="0" borderId="1" xfId="0" applyBorder="1" applyAlignment="1">
      <alignment vertical="center"/>
    </xf>
    <xf numFmtId="0" fontId="40" fillId="0" borderId="25" xfId="3" applyFont="1" applyFill="1" applyBorder="1" applyAlignment="1" applyProtection="1">
      <alignment horizontal="center" vertical="center"/>
    </xf>
    <xf numFmtId="0" fontId="40" fillId="0" borderId="0" xfId="3" applyFont="1" applyFill="1" applyBorder="1" applyAlignment="1" applyProtection="1">
      <alignment horizontal="center" vertical="center"/>
    </xf>
    <xf numFmtId="0" fontId="40" fillId="0" borderId="26" xfId="3" applyFont="1" applyFill="1" applyBorder="1" applyAlignment="1" applyProtection="1">
      <alignment horizontal="center" vertical="center"/>
    </xf>
    <xf numFmtId="0" fontId="0" fillId="6" borderId="52" xfId="0" applyFill="1" applyBorder="1" applyAlignment="1">
      <alignment horizontal="left" vertical="center" wrapText="1"/>
    </xf>
    <xf numFmtId="0" fontId="0" fillId="6" borderId="53" xfId="0" applyFill="1" applyBorder="1" applyAlignment="1">
      <alignment horizontal="left" vertical="center" wrapText="1"/>
    </xf>
    <xf numFmtId="0" fontId="0" fillId="6" borderId="25" xfId="0" applyFill="1" applyBorder="1" applyAlignment="1">
      <alignment horizontal="left" vertical="center" wrapText="1"/>
    </xf>
    <xf numFmtId="0" fontId="0" fillId="6" borderId="54" xfId="0" applyFill="1" applyBorder="1" applyAlignment="1">
      <alignment horizontal="left" vertical="center" wrapText="1"/>
    </xf>
    <xf numFmtId="0" fontId="0" fillId="6" borderId="49" xfId="0" applyFill="1" applyBorder="1" applyAlignment="1">
      <alignment horizontal="left" vertical="center" wrapText="1"/>
    </xf>
    <xf numFmtId="0" fontId="0" fillId="6" borderId="40" xfId="0" applyFill="1" applyBorder="1" applyAlignment="1">
      <alignment horizontal="left" vertical="center" wrapText="1"/>
    </xf>
    <xf numFmtId="0" fontId="0" fillId="0" borderId="1" xfId="0" applyBorder="1" applyAlignment="1" applyProtection="1">
      <alignment horizontal="center"/>
      <protection locked="0"/>
    </xf>
    <xf numFmtId="0" fontId="0" fillId="0" borderId="11" xfId="0" applyBorder="1" applyAlignment="1" applyProtection="1">
      <alignment horizontal="center"/>
      <protection locked="0"/>
    </xf>
    <xf numFmtId="2" fontId="0" fillId="7" borderId="20" xfId="2" applyFont="1" applyFill="1" applyBorder="1" applyAlignment="1" applyProtection="1">
      <alignment horizontal="center"/>
      <protection locked="0"/>
    </xf>
    <xf numFmtId="2" fontId="0" fillId="7" borderId="14" xfId="2" applyFont="1" applyFill="1" applyBorder="1" applyAlignment="1" applyProtection="1">
      <alignment horizontal="center"/>
      <protection locked="0"/>
    </xf>
    <xf numFmtId="1" fontId="0" fillId="0" borderId="6" xfId="2" applyNumberFormat="1" applyFont="1" applyFill="1" applyBorder="1" applyAlignment="1" applyProtection="1">
      <alignment horizontal="center"/>
      <protection locked="0"/>
    </xf>
    <xf numFmtId="1" fontId="0" fillId="0" borderId="44" xfId="2" applyNumberFormat="1" applyFont="1" applyFill="1" applyBorder="1" applyAlignment="1" applyProtection="1">
      <alignment horizontal="center"/>
      <protection locked="0"/>
    </xf>
    <xf numFmtId="0" fontId="0" fillId="0" borderId="1" xfId="2" applyNumberFormat="1" applyFont="1" applyFill="1" applyAlignment="1" applyProtection="1">
      <alignment horizontal="center"/>
      <protection locked="0"/>
    </xf>
    <xf numFmtId="0" fontId="0" fillId="0" borderId="11" xfId="2" applyNumberFormat="1" applyFont="1" applyFill="1" applyBorder="1" applyAlignment="1" applyProtection="1">
      <alignment horizontal="center"/>
      <protection locked="0"/>
    </xf>
    <xf numFmtId="1" fontId="0" fillId="0" borderId="1" xfId="2" applyNumberFormat="1" applyFont="1" applyFill="1" applyAlignment="1" applyProtection="1">
      <alignment horizontal="center"/>
      <protection locked="0"/>
    </xf>
    <xf numFmtId="1" fontId="0" fillId="0" borderId="11" xfId="2" applyNumberFormat="1" applyFont="1" applyFill="1" applyBorder="1" applyAlignment="1" applyProtection="1">
      <alignment horizontal="center"/>
      <protection locked="0"/>
    </xf>
    <xf numFmtId="0" fontId="40" fillId="0" borderId="48" xfId="3" applyFont="1" applyFill="1" applyBorder="1" applyAlignment="1" applyProtection="1">
      <alignment horizontal="center" vertical="center" wrapText="1"/>
    </xf>
    <xf numFmtId="0" fontId="40" fillId="0" borderId="6" xfId="3" applyFont="1" applyFill="1" applyBorder="1" applyAlignment="1" applyProtection="1">
      <alignment horizontal="center" vertical="center" wrapText="1"/>
    </xf>
    <xf numFmtId="0" fontId="40" fillId="0" borderId="2" xfId="3" applyFont="1" applyFill="1" applyBorder="1" applyAlignment="1" applyProtection="1">
      <alignment horizontal="center" vertical="center" wrapText="1"/>
    </xf>
    <xf numFmtId="0" fontId="0" fillId="6" borderId="18" xfId="0" applyFill="1" applyBorder="1" applyAlignment="1">
      <alignment vertical="center"/>
    </xf>
    <xf numFmtId="0" fontId="0" fillId="6" borderId="1" xfId="0" applyFill="1" applyBorder="1" applyAlignment="1">
      <alignment vertical="center"/>
    </xf>
    <xf numFmtId="14" fontId="1" fillId="13" borderId="20" xfId="2" applyNumberFormat="1" applyFill="1" applyBorder="1" applyAlignment="1">
      <alignment horizontal="center" vertical="center"/>
    </xf>
    <xf numFmtId="14" fontId="1" fillId="13" borderId="14" xfId="2" applyNumberFormat="1" applyFill="1" applyBorder="1" applyAlignment="1">
      <alignment horizontal="center" vertical="center"/>
    </xf>
    <xf numFmtId="0" fontId="1" fillId="0" borderId="1" xfId="2" applyNumberFormat="1" applyFill="1" applyAlignment="1" applyProtection="1">
      <alignment horizontal="center"/>
      <protection locked="0"/>
    </xf>
    <xf numFmtId="0" fontId="1" fillId="0" borderId="11" xfId="2" applyNumberFormat="1" applyFill="1" applyBorder="1" applyAlignment="1" applyProtection="1">
      <alignment horizontal="center"/>
      <protection locked="0"/>
    </xf>
    <xf numFmtId="1" fontId="1" fillId="0" borderId="1" xfId="2" applyNumberFormat="1" applyFill="1" applyAlignment="1" applyProtection="1">
      <alignment horizontal="center"/>
      <protection locked="0"/>
    </xf>
    <xf numFmtId="1" fontId="1" fillId="0" borderId="11" xfId="2" applyNumberFormat="1" applyFill="1" applyBorder="1" applyAlignment="1" applyProtection="1">
      <alignment horizontal="center"/>
      <protection locked="0"/>
    </xf>
    <xf numFmtId="0" fontId="40" fillId="0" borderId="48" xfId="3" applyFont="1" applyFill="1" applyBorder="1" applyAlignment="1" applyProtection="1">
      <alignment horizontal="center" vertical="top" wrapText="1"/>
    </xf>
    <xf numFmtId="0" fontId="40" fillId="0" borderId="50" xfId="3" applyFont="1" applyFill="1" applyBorder="1" applyAlignment="1" applyProtection="1">
      <alignment horizontal="center" vertical="top" wrapText="1"/>
    </xf>
    <xf numFmtId="0" fontId="40" fillId="0" borderId="46" xfId="3" applyFont="1" applyFill="1" applyBorder="1" applyAlignment="1" applyProtection="1">
      <alignment horizontal="center" vertical="top" wrapText="1"/>
    </xf>
    <xf numFmtId="0" fontId="40" fillId="0" borderId="55" xfId="3" applyFont="1" applyFill="1" applyBorder="1" applyAlignment="1" applyProtection="1">
      <alignment horizontal="center" vertical="top" wrapText="1"/>
    </xf>
    <xf numFmtId="0" fontId="0" fillId="0" borderId="19" xfId="0" applyBorder="1" applyAlignment="1">
      <alignment vertical="center"/>
    </xf>
    <xf numFmtId="0" fontId="0" fillId="0" borderId="20" xfId="0" applyBorder="1" applyAlignment="1">
      <alignment vertical="center"/>
    </xf>
    <xf numFmtId="0" fontId="0" fillId="0" borderId="12"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6" borderId="19" xfId="0" applyFill="1" applyBorder="1" applyAlignment="1">
      <alignment horizontal="left" vertical="center"/>
    </xf>
    <xf numFmtId="0" fontId="0" fillId="6" borderId="20" xfId="0" applyFill="1" applyBorder="1" applyAlignment="1">
      <alignment horizontal="left" vertical="center"/>
    </xf>
    <xf numFmtId="0" fontId="40" fillId="0" borderId="5" xfId="3" applyFont="1" applyFill="1" applyBorder="1" applyAlignment="1" applyProtection="1">
      <alignment horizontal="center" vertical="center"/>
    </xf>
    <xf numFmtId="0" fontId="40" fillId="0" borderId="47" xfId="3" applyFont="1" applyFill="1" applyBorder="1" applyAlignment="1" applyProtection="1">
      <alignment horizontal="center" vertical="center"/>
    </xf>
    <xf numFmtId="0" fontId="2" fillId="14" borderId="28" xfId="0" applyFont="1" applyFill="1" applyBorder="1" applyAlignment="1">
      <alignment horizontal="center" vertical="center" wrapText="1"/>
    </xf>
    <xf numFmtId="0" fontId="2" fillId="14" borderId="29" xfId="0" applyFont="1" applyFill="1" applyBorder="1" applyAlignment="1">
      <alignment horizontal="center" vertical="center" wrapText="1"/>
    </xf>
    <xf numFmtId="0" fontId="2" fillId="14" borderId="31" xfId="0" applyFont="1" applyFill="1" applyBorder="1" applyAlignment="1">
      <alignment horizontal="center" vertical="center" wrapText="1"/>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6" borderId="20" xfId="0" applyFill="1" applyBorder="1" applyAlignment="1" applyProtection="1">
      <alignment horizontal="left" vertical="top" wrapText="1"/>
      <protection locked="0"/>
    </xf>
    <xf numFmtId="0" fontId="0" fillId="6" borderId="14" xfId="0" applyFill="1" applyBorder="1" applyAlignment="1" applyProtection="1">
      <alignment horizontal="left" vertical="top" wrapText="1"/>
      <protection locked="0"/>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10" xfId="0" applyBorder="1" applyAlignment="1">
      <alignment horizontal="left" vertical="top" wrapText="1"/>
    </xf>
    <xf numFmtId="0" fontId="0" fillId="0" borderId="4" xfId="0" applyBorder="1" applyAlignment="1">
      <alignment horizontal="left" vertical="top" wrapText="1"/>
    </xf>
    <xf numFmtId="0" fontId="0" fillId="0" borderId="18" xfId="0" applyBorder="1" applyAlignment="1">
      <alignment horizontal="left" vertical="top" wrapText="1"/>
    </xf>
    <xf numFmtId="0" fontId="0" fillId="0" borderId="1" xfId="0" applyBorder="1" applyAlignment="1">
      <alignment horizontal="left" vertical="top" wrapText="1"/>
    </xf>
    <xf numFmtId="0" fontId="0" fillId="6" borderId="37" xfId="0" applyFill="1" applyBorder="1" applyAlignment="1" applyProtection="1">
      <alignment horizontal="left" vertical="top" wrapText="1"/>
      <protection locked="0"/>
    </xf>
    <xf numFmtId="0" fontId="0" fillId="6" borderId="27" xfId="0" applyFill="1" applyBorder="1" applyAlignment="1" applyProtection="1">
      <alignment horizontal="left" vertical="top" wrapText="1"/>
      <protection locked="0"/>
    </xf>
    <xf numFmtId="0" fontId="0" fillId="6" borderId="36" xfId="0" applyFill="1" applyBorder="1" applyAlignment="1" applyProtection="1">
      <alignment horizontal="left" vertical="top" wrapText="1"/>
      <protection locked="0"/>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0" fillId="0" borderId="1" xfId="0" applyBorder="1" applyAlignment="1">
      <alignment horizontal="center" vertical="center" wrapText="1"/>
    </xf>
    <xf numFmtId="0" fontId="0" fillId="0" borderId="48" xfId="0" applyBorder="1" applyAlignment="1">
      <alignment horizontal="center" vertical="center" wrapText="1"/>
    </xf>
    <xf numFmtId="0" fontId="0" fillId="0" borderId="6" xfId="0" applyBorder="1" applyAlignment="1">
      <alignment horizontal="center" vertical="center" wrapText="1"/>
    </xf>
    <xf numFmtId="0" fontId="0" fillId="0" borderId="51" xfId="0" applyBorder="1" applyAlignment="1">
      <alignment horizontal="center" vertical="center" wrapText="1"/>
    </xf>
    <xf numFmtId="0" fontId="0" fillId="0" borderId="44" xfId="0" applyBorder="1" applyAlignment="1">
      <alignment horizontal="center" vertical="center" wrapText="1"/>
    </xf>
    <xf numFmtId="0" fontId="0" fillId="0" borderId="39" xfId="0" applyBorder="1" applyAlignment="1">
      <alignment horizontal="center" vertical="center"/>
    </xf>
    <xf numFmtId="0" fontId="0" fillId="0" borderId="90" xfId="0" applyBorder="1" applyAlignment="1">
      <alignment horizontal="center" vertical="center"/>
    </xf>
    <xf numFmtId="0" fontId="0" fillId="0" borderId="30" xfId="0" applyBorder="1" applyAlignment="1">
      <alignment horizontal="center" vertical="center"/>
    </xf>
    <xf numFmtId="0" fontId="0" fillId="0" borderId="48" xfId="0" applyBorder="1" applyAlignment="1">
      <alignment horizontal="center" vertical="center"/>
    </xf>
    <xf numFmtId="0" fontId="0" fillId="0" borderId="50" xfId="0" applyBorder="1" applyAlignment="1">
      <alignment horizontal="center" vertical="center"/>
    </xf>
    <xf numFmtId="0" fontId="0" fillId="0" borderId="6" xfId="0" applyBorder="1" applyAlignment="1">
      <alignment horizontal="center" vertical="center"/>
    </xf>
    <xf numFmtId="0" fontId="0" fillId="0" borderId="50" xfId="0" applyBorder="1" applyAlignment="1">
      <alignment horizontal="center" vertical="center" wrapText="1"/>
    </xf>
    <xf numFmtId="0" fontId="0" fillId="6" borderId="2" xfId="0" applyFill="1" applyBorder="1" applyAlignment="1" applyProtection="1">
      <alignment horizontal="center"/>
      <protection locked="0"/>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2" fontId="0" fillId="6" borderId="2" xfId="0" applyNumberFormat="1" applyFill="1" applyBorder="1" applyAlignment="1" applyProtection="1">
      <alignment horizontal="right"/>
      <protection locked="0"/>
    </xf>
    <xf numFmtId="2" fontId="0" fillId="6" borderId="3" xfId="0" applyNumberFormat="1" applyFill="1" applyBorder="1" applyAlignment="1" applyProtection="1">
      <alignment horizontal="right"/>
      <protection locked="0"/>
    </xf>
    <xf numFmtId="2" fontId="0" fillId="6" borderId="4" xfId="0" applyNumberFormat="1" applyFill="1" applyBorder="1" applyAlignment="1" applyProtection="1">
      <alignment horizontal="right"/>
      <protection locked="0"/>
    </xf>
    <xf numFmtId="0" fontId="0" fillId="6" borderId="2" xfId="0" applyFill="1" applyBorder="1" applyAlignment="1" applyProtection="1">
      <alignment horizontal="right"/>
      <protection locked="0"/>
    </xf>
    <xf numFmtId="0" fontId="0" fillId="6" borderId="3" xfId="0" applyFill="1" applyBorder="1" applyAlignment="1" applyProtection="1">
      <alignment horizontal="right"/>
      <protection locked="0"/>
    </xf>
    <xf numFmtId="0" fontId="0" fillId="6" borderId="4" xfId="0" applyFill="1" applyBorder="1" applyAlignment="1" applyProtection="1">
      <alignment horizontal="right"/>
      <protection locked="0"/>
    </xf>
    <xf numFmtId="2" fontId="0" fillId="13" borderId="20" xfId="0" applyNumberFormat="1" applyFill="1" applyBorder="1" applyAlignment="1">
      <alignment horizontal="right"/>
    </xf>
    <xf numFmtId="2" fontId="0" fillId="13" borderId="14" xfId="0" applyNumberFormat="1" applyFill="1" applyBorder="1" applyAlignment="1">
      <alignment horizontal="right"/>
    </xf>
    <xf numFmtId="2" fontId="0" fillId="13" borderId="1" xfId="0" applyNumberFormat="1" applyFill="1" applyBorder="1" applyAlignment="1">
      <alignment horizontal="right"/>
    </xf>
    <xf numFmtId="2" fontId="0" fillId="13" borderId="11" xfId="0" applyNumberFormat="1" applyFill="1" applyBorder="1" applyAlignment="1">
      <alignment horizontal="right"/>
    </xf>
    <xf numFmtId="0" fontId="0" fillId="13" borderId="3" xfId="0" applyFill="1" applyBorder="1" applyAlignment="1">
      <alignment horizontal="center"/>
    </xf>
    <xf numFmtId="0" fontId="0" fillId="13" borderId="27" xfId="0" applyFill="1" applyBorder="1" applyAlignment="1">
      <alignment horizontal="center"/>
    </xf>
    <xf numFmtId="0" fontId="40" fillId="0" borderId="18" xfId="3" applyFont="1" applyFill="1" applyBorder="1" applyAlignment="1" applyProtection="1">
      <alignment horizontal="center" vertical="center" wrapText="1"/>
    </xf>
    <xf numFmtId="0" fontId="40" fillId="0" borderId="1" xfId="3" applyFont="1" applyFill="1" applyBorder="1" applyAlignment="1" applyProtection="1">
      <alignment horizontal="center" vertical="center" wrapText="1"/>
    </xf>
    <xf numFmtId="0" fontId="40" fillId="0" borderId="11" xfId="3" applyFont="1" applyFill="1" applyBorder="1" applyAlignment="1" applyProtection="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40" fillId="0" borderId="18" xfId="3" applyFont="1" applyFill="1" applyBorder="1" applyAlignment="1" applyProtection="1">
      <alignment horizontal="center" vertical="center"/>
    </xf>
    <xf numFmtId="0" fontId="40" fillId="0" borderId="1" xfId="3" applyFont="1" applyFill="1" applyBorder="1" applyAlignment="1" applyProtection="1">
      <alignment horizontal="center" vertical="center"/>
    </xf>
    <xf numFmtId="0" fontId="40" fillId="0" borderId="11" xfId="3" applyFont="1" applyFill="1" applyBorder="1" applyAlignment="1" applyProtection="1">
      <alignment horizontal="center" vertical="center"/>
    </xf>
    <xf numFmtId="0" fontId="24" fillId="19" borderId="3" xfId="0" applyFont="1" applyFill="1" applyBorder="1" applyAlignment="1">
      <alignment horizontal="left" vertical="center" wrapText="1"/>
    </xf>
    <xf numFmtId="0" fontId="24" fillId="19" borderId="4" xfId="0" applyFont="1" applyFill="1" applyBorder="1" applyAlignment="1">
      <alignment horizontal="left" vertical="center" wrapText="1"/>
    </xf>
    <xf numFmtId="0" fontId="2" fillId="0" borderId="20" xfId="0" applyFont="1" applyBorder="1" applyAlignment="1">
      <alignment horizontal="left"/>
    </xf>
    <xf numFmtId="0" fontId="2" fillId="0" borderId="14" xfId="0" applyFont="1" applyBorder="1" applyAlignment="1">
      <alignment horizontal="left"/>
    </xf>
    <xf numFmtId="0" fontId="2" fillId="0" borderId="1" xfId="0" applyFont="1" applyBorder="1" applyAlignment="1">
      <alignment horizontal="center" vertical="center" wrapText="1"/>
    </xf>
    <xf numFmtId="0" fontId="0" fillId="6" borderId="1" xfId="0" applyFill="1" applyBorder="1" applyAlignment="1" applyProtection="1">
      <alignment horizontal="center"/>
      <protection locked="0"/>
    </xf>
    <xf numFmtId="0" fontId="0" fillId="6" borderId="1" xfId="0" applyFill="1" applyBorder="1" applyAlignment="1" applyProtection="1">
      <alignment horizontal="center" vertical="center" wrapText="1"/>
      <protection locked="0"/>
    </xf>
    <xf numFmtId="0" fontId="0" fillId="13" borderId="4" xfId="0" applyFill="1" applyBorder="1" applyAlignment="1">
      <alignment horizontal="center"/>
    </xf>
    <xf numFmtId="0" fontId="0" fillId="13" borderId="13" xfId="0" applyFill="1" applyBorder="1" applyAlignment="1">
      <alignment horizontal="center"/>
    </xf>
    <xf numFmtId="2" fontId="0" fillId="6" borderId="1" xfId="0" applyNumberFormat="1" applyFill="1" applyBorder="1" applyAlignment="1" applyProtection="1">
      <alignment horizontal="right"/>
      <protection locked="0"/>
    </xf>
    <xf numFmtId="2" fontId="0" fillId="6" borderId="2" xfId="0" applyNumberFormat="1" applyFill="1" applyBorder="1" applyAlignment="1" applyProtection="1">
      <alignment horizontal="right" wrapText="1"/>
      <protection locked="0"/>
    </xf>
    <xf numFmtId="2" fontId="0" fillId="6" borderId="3" xfId="0" applyNumberFormat="1" applyFill="1" applyBorder="1" applyAlignment="1" applyProtection="1">
      <alignment horizontal="right" wrapText="1"/>
      <protection locked="0"/>
    </xf>
    <xf numFmtId="2" fontId="0" fillId="6" borderId="4" xfId="0" applyNumberFormat="1" applyFill="1" applyBorder="1" applyAlignment="1" applyProtection="1">
      <alignment horizontal="right" wrapText="1"/>
      <protection locked="0"/>
    </xf>
    <xf numFmtId="0" fontId="0" fillId="0" borderId="1" xfId="0" applyBorder="1" applyAlignment="1" applyProtection="1">
      <alignment horizontal="center" vertical="center"/>
      <protection locked="0"/>
    </xf>
    <xf numFmtId="0" fontId="2" fillId="0" borderId="25" xfId="0" applyFont="1" applyBorder="1" applyAlignment="1">
      <alignment horizontal="center" vertical="center"/>
    </xf>
    <xf numFmtId="0" fontId="2" fillId="0" borderId="8" xfId="0" applyFont="1" applyBorder="1" applyAlignment="1">
      <alignment horizontal="left"/>
    </xf>
    <xf numFmtId="0" fontId="2" fillId="0" borderId="9" xfId="0" applyFont="1" applyBorder="1" applyAlignment="1">
      <alignment horizontal="left"/>
    </xf>
    <xf numFmtId="2" fontId="0" fillId="13" borderId="2" xfId="2" applyFont="1" applyFill="1" applyBorder="1" applyAlignment="1">
      <alignment horizontal="center"/>
    </xf>
    <xf numFmtId="2" fontId="0" fillId="13" borderId="3" xfId="2" applyFont="1" applyFill="1" applyBorder="1" applyAlignment="1">
      <alignment horizontal="center"/>
    </xf>
    <xf numFmtId="2" fontId="0" fillId="13" borderId="4" xfId="2" applyFont="1" applyFill="1" applyBorder="1" applyAlignment="1">
      <alignment horizontal="center"/>
    </xf>
    <xf numFmtId="2" fontId="0" fillId="0" borderId="2" xfId="0" applyNumberFormat="1" applyBorder="1" applyAlignment="1" applyProtection="1">
      <alignment horizontal="right" wrapText="1"/>
      <protection locked="0"/>
    </xf>
    <xf numFmtId="2" fontId="0" fillId="0" borderId="3" xfId="0" applyNumberFormat="1" applyBorder="1" applyAlignment="1" applyProtection="1">
      <alignment horizontal="right" wrapText="1"/>
      <protection locked="0"/>
    </xf>
    <xf numFmtId="2" fontId="0" fillId="0" borderId="21" xfId="0" applyNumberFormat="1" applyBorder="1" applyAlignment="1" applyProtection="1">
      <alignment horizontal="right" wrapText="1"/>
      <protection locked="0"/>
    </xf>
    <xf numFmtId="2" fontId="0" fillId="0" borderId="37" xfId="0" applyNumberFormat="1" applyBorder="1" applyAlignment="1" applyProtection="1">
      <alignment horizontal="right" wrapText="1"/>
      <protection locked="0"/>
    </xf>
    <xf numFmtId="2" fontId="0" fillId="0" borderId="27" xfId="0" applyNumberFormat="1" applyBorder="1" applyAlignment="1" applyProtection="1">
      <alignment horizontal="right" wrapText="1"/>
      <protection locked="0"/>
    </xf>
    <xf numFmtId="2" fontId="0" fillId="0" borderId="36" xfId="0" applyNumberFormat="1" applyBorder="1" applyAlignment="1" applyProtection="1">
      <alignment horizontal="right" wrapText="1"/>
      <protection locked="0"/>
    </xf>
    <xf numFmtId="0" fontId="2" fillId="0" borderId="3" xfId="0" applyFont="1" applyBorder="1" applyAlignment="1">
      <alignment horizontal="center" vertical="center" wrapText="1"/>
    </xf>
    <xf numFmtId="0" fontId="2" fillId="0" borderId="21" xfId="0" applyFont="1" applyBorder="1" applyAlignment="1">
      <alignment horizontal="center" vertical="center" wrapText="1"/>
    </xf>
    <xf numFmtId="2" fontId="0" fillId="0" borderId="1" xfId="0" applyNumberFormat="1" applyBorder="1" applyAlignment="1" applyProtection="1">
      <alignment horizontal="right" wrapText="1"/>
      <protection locked="0"/>
    </xf>
    <xf numFmtId="2" fontId="0" fillId="0" borderId="11" xfId="0" applyNumberFormat="1" applyBorder="1" applyAlignment="1" applyProtection="1">
      <alignment horizontal="right" wrapText="1"/>
      <protection locked="0"/>
    </xf>
    <xf numFmtId="0" fontId="0" fillId="7" borderId="16" xfId="0" applyFill="1" applyBorder="1" applyAlignment="1" applyProtection="1">
      <alignment horizontal="center"/>
      <protection locked="0"/>
    </xf>
    <xf numFmtId="0" fontId="0" fillId="7" borderId="24" xfId="0" applyFill="1" applyBorder="1" applyAlignment="1" applyProtection="1">
      <alignment horizontal="center"/>
      <protection locked="0"/>
    </xf>
    <xf numFmtId="2" fontId="0" fillId="6" borderId="46" xfId="0" applyNumberFormat="1" applyFill="1" applyBorder="1" applyAlignment="1" applyProtection="1">
      <alignment horizontal="right" wrapText="1"/>
      <protection locked="0"/>
    </xf>
    <xf numFmtId="0" fontId="0" fillId="0" borderId="1" xfId="0"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2" fillId="0" borderId="25" xfId="0" applyFont="1" applyBorder="1" applyAlignment="1">
      <alignment horizontal="center" vertical="center" wrapText="1"/>
    </xf>
    <xf numFmtId="2" fontId="0" fillId="6" borderId="18" xfId="0" applyNumberFormat="1" applyFill="1" applyBorder="1" applyAlignment="1" applyProtection="1">
      <alignment horizontal="right"/>
      <protection locked="0"/>
    </xf>
    <xf numFmtId="0" fontId="2" fillId="0" borderId="0" xfId="0" applyFont="1" applyAlignment="1">
      <alignment horizontal="center" vertical="center"/>
    </xf>
    <xf numFmtId="0" fontId="2" fillId="0" borderId="1" xfId="0" applyFont="1" applyBorder="1" applyAlignment="1">
      <alignment horizontal="left"/>
    </xf>
    <xf numFmtId="0" fontId="2" fillId="0" borderId="11" xfId="0" applyFont="1" applyBorder="1" applyAlignment="1">
      <alignment horizontal="left"/>
    </xf>
    <xf numFmtId="0" fontId="4" fillId="19" borderId="3" xfId="0" applyFont="1" applyFill="1" applyBorder="1" applyAlignment="1">
      <alignment horizontal="left" vertical="center" wrapText="1"/>
    </xf>
    <xf numFmtId="0" fontId="0" fillId="6" borderId="52"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47" xfId="0" applyFill="1" applyBorder="1" applyAlignment="1" applyProtection="1">
      <alignment horizontal="center"/>
      <protection locked="0"/>
    </xf>
    <xf numFmtId="0" fontId="40" fillId="0" borderId="64" xfId="3" applyFont="1" applyFill="1" applyBorder="1" applyAlignment="1" applyProtection="1">
      <alignment horizontal="center" vertical="center"/>
    </xf>
    <xf numFmtId="0" fontId="7" fillId="0" borderId="10" xfId="3" applyFont="1" applyFill="1" applyBorder="1" applyAlignment="1" applyProtection="1">
      <alignment horizontal="center" vertical="center" wrapText="1"/>
    </xf>
    <xf numFmtId="0" fontId="7" fillId="0" borderId="3" xfId="3" applyFont="1" applyFill="1" applyBorder="1" applyAlignment="1" applyProtection="1">
      <alignment horizontal="center" vertical="center" wrapText="1"/>
    </xf>
    <xf numFmtId="0" fontId="7" fillId="0" borderId="21" xfId="3" applyFont="1" applyFill="1" applyBorder="1" applyAlignment="1" applyProtection="1">
      <alignment horizontal="center" vertical="center" wrapText="1"/>
    </xf>
    <xf numFmtId="0" fontId="2" fillId="0" borderId="6" xfId="0" applyFont="1" applyBorder="1" applyAlignment="1">
      <alignment horizontal="left"/>
    </xf>
    <xf numFmtId="0" fontId="2" fillId="0" borderId="44" xfId="0" applyFont="1" applyBorder="1" applyAlignment="1">
      <alignment horizontal="left"/>
    </xf>
    <xf numFmtId="0" fontId="2" fillId="0" borderId="7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4" xfId="0" applyFont="1" applyBorder="1" applyAlignment="1">
      <alignment horizontal="center" vertical="center" wrapText="1"/>
    </xf>
    <xf numFmtId="2" fontId="0" fillId="6" borderId="20" xfId="0" applyNumberFormat="1" applyFill="1" applyBorder="1" applyAlignment="1" applyProtection="1">
      <alignment horizontal="right"/>
      <protection locked="0"/>
    </xf>
    <xf numFmtId="0" fontId="0" fillId="13" borderId="16" xfId="0" applyFill="1" applyBorder="1" applyAlignment="1">
      <alignment horizontal="center"/>
    </xf>
    <xf numFmtId="0" fontId="0" fillId="0" borderId="20"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10" fillId="19" borderId="18" xfId="3" applyFont="1" applyFill="1" applyBorder="1" applyAlignment="1" applyProtection="1">
      <alignment horizontal="left" vertical="center" wrapText="1"/>
    </xf>
    <xf numFmtId="0" fontId="10" fillId="19" borderId="1" xfId="3" applyFont="1" applyFill="1" applyBorder="1" applyAlignment="1" applyProtection="1">
      <alignment horizontal="left" vertical="center" wrapText="1"/>
    </xf>
    <xf numFmtId="0" fontId="23" fillId="19" borderId="2"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3" fillId="19" borderId="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3" fillId="19" borderId="2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2" fontId="0" fillId="13" borderId="8" xfId="0" applyNumberFormat="1" applyFill="1" applyBorder="1" applyAlignment="1">
      <alignment horizontal="right"/>
    </xf>
    <xf numFmtId="2" fontId="0" fillId="13" borderId="9" xfId="0" applyNumberFormat="1" applyFill="1" applyBorder="1" applyAlignment="1">
      <alignment horizontal="right"/>
    </xf>
    <xf numFmtId="2" fontId="0" fillId="13" borderId="6" xfId="0" applyNumberFormat="1" applyFill="1" applyBorder="1" applyAlignment="1">
      <alignment horizontal="right"/>
    </xf>
    <xf numFmtId="2" fontId="0" fillId="13" borderId="44" xfId="0" applyNumberFormat="1" applyFill="1" applyBorder="1" applyAlignment="1">
      <alignment horizontal="right"/>
    </xf>
    <xf numFmtId="0" fontId="2" fillId="0" borderId="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40" fillId="0" borderId="49" xfId="3" applyFont="1" applyFill="1" applyBorder="1" applyAlignment="1" applyProtection="1">
      <alignment horizontal="center" vertical="center" wrapText="1"/>
    </xf>
    <xf numFmtId="0" fontId="40" fillId="0" borderId="41" xfId="3" applyFont="1" applyFill="1" applyBorder="1" applyAlignment="1" applyProtection="1">
      <alignment horizontal="center" vertical="center" wrapText="1"/>
    </xf>
    <xf numFmtId="0" fontId="40" fillId="0" borderId="56" xfId="3" applyFont="1" applyFill="1" applyBorder="1" applyAlignment="1" applyProtection="1">
      <alignment horizontal="center" vertical="center" wrapText="1"/>
    </xf>
    <xf numFmtId="0" fontId="0" fillId="0" borderId="48" xfId="0" applyBorder="1" applyAlignment="1" applyProtection="1">
      <alignment vertical="center" wrapText="1"/>
      <protection locked="0"/>
    </xf>
    <xf numFmtId="0" fontId="0" fillId="0" borderId="20" xfId="0" applyBorder="1" applyAlignment="1" applyProtection="1">
      <alignment vertical="center" wrapText="1"/>
      <protection locked="0"/>
    </xf>
    <xf numFmtId="0" fontId="2" fillId="0" borderId="6" xfId="0" applyFont="1" applyBorder="1" applyAlignment="1">
      <alignment horizontal="center" vertical="center" wrapText="1"/>
    </xf>
    <xf numFmtId="0" fontId="0" fillId="0" borderId="6" xfId="0" applyBorder="1" applyAlignment="1" applyProtection="1">
      <alignment vertical="center" wrapText="1"/>
      <protection locked="0"/>
    </xf>
    <xf numFmtId="0" fontId="2" fillId="0" borderId="6" xfId="0" applyFont="1" applyBorder="1" applyAlignment="1">
      <alignment horizontal="center" vertical="center"/>
    </xf>
    <xf numFmtId="0" fontId="0" fillId="6" borderId="4"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2" fontId="0" fillId="6" borderId="4" xfId="0" applyNumberFormat="1" applyFill="1" applyBorder="1" applyAlignment="1" applyProtection="1">
      <alignment horizontal="right" vertical="center"/>
      <protection locked="0"/>
    </xf>
    <xf numFmtId="2" fontId="0" fillId="6" borderId="1" xfId="0" applyNumberFormat="1" applyFill="1" applyBorder="1" applyAlignment="1" applyProtection="1">
      <alignment horizontal="right" vertical="center"/>
      <protection locked="0"/>
    </xf>
    <xf numFmtId="2" fontId="0" fillId="13" borderId="30" xfId="2" applyFont="1" applyFill="1" applyBorder="1" applyAlignment="1">
      <alignment horizontal="right" vertical="center"/>
    </xf>
    <xf numFmtId="2" fontId="0" fillId="13" borderId="6" xfId="2" applyFont="1" applyFill="1" applyBorder="1" applyAlignment="1">
      <alignment horizontal="right" vertical="center"/>
    </xf>
    <xf numFmtId="2" fontId="0" fillId="13" borderId="40" xfId="2" applyFont="1" applyFill="1" applyBorder="1" applyAlignment="1">
      <alignment horizontal="right" vertical="center"/>
    </xf>
    <xf numFmtId="2" fontId="0" fillId="13" borderId="27" xfId="2" applyFont="1" applyFill="1" applyBorder="1" applyAlignment="1">
      <alignment horizontal="right" vertical="center"/>
    </xf>
    <xf numFmtId="2" fontId="0" fillId="13" borderId="13" xfId="2" applyFont="1" applyFill="1" applyBorder="1" applyAlignment="1">
      <alignment horizontal="right" vertical="center"/>
    </xf>
    <xf numFmtId="0" fontId="40" fillId="0" borderId="8" xfId="3" applyFont="1" applyFill="1" applyBorder="1" applyAlignment="1" applyProtection="1">
      <alignment horizontal="center" vertical="center"/>
    </xf>
    <xf numFmtId="0" fontId="10" fillId="0" borderId="48" xfId="0" applyFont="1" applyBorder="1" applyAlignment="1">
      <alignment horizontal="center" vertical="center" wrapText="1"/>
    </xf>
    <xf numFmtId="2" fontId="0" fillId="13" borderId="19" xfId="0" applyNumberFormat="1" applyFill="1" applyBorder="1" applyAlignment="1">
      <alignment horizontal="right"/>
    </xf>
    <xf numFmtId="170" fontId="0" fillId="13" borderId="37" xfId="2" applyNumberFormat="1" applyFont="1" applyFill="1" applyBorder="1" applyAlignment="1">
      <alignment horizontal="right"/>
    </xf>
    <xf numFmtId="170" fontId="0" fillId="13" borderId="27" xfId="2" applyNumberFormat="1" applyFont="1" applyFill="1" applyBorder="1" applyAlignment="1">
      <alignment horizontal="right"/>
    </xf>
    <xf numFmtId="170" fontId="0" fillId="13" borderId="36" xfId="2" applyNumberFormat="1" applyFont="1" applyFill="1" applyBorder="1" applyAlignment="1">
      <alignment horizontal="right"/>
    </xf>
    <xf numFmtId="0" fontId="6" fillId="6" borderId="1" xfId="3" applyFill="1" applyBorder="1" applyAlignment="1" applyProtection="1">
      <alignment horizontal="center"/>
      <protection locked="0"/>
    </xf>
    <xf numFmtId="0" fontId="0" fillId="6" borderId="11" xfId="0" applyFill="1" applyBorder="1" applyAlignment="1" applyProtection="1">
      <alignment horizontal="center"/>
      <protection locked="0"/>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13" fillId="6" borderId="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3" fillId="6" borderId="1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2" fontId="0" fillId="13" borderId="44" xfId="2" applyFont="1" applyFill="1" applyBorder="1" applyAlignment="1">
      <alignment horizontal="right" vertical="center"/>
    </xf>
    <xf numFmtId="0" fontId="0" fillId="19" borderId="2" xfId="0" applyFill="1" applyBorder="1" applyAlignment="1" applyProtection="1">
      <alignment horizontal="left" vertical="center" wrapText="1"/>
      <protection locked="0"/>
    </xf>
    <xf numFmtId="0" fontId="0" fillId="19" borderId="3" xfId="0" applyFill="1" applyBorder="1" applyAlignment="1" applyProtection="1">
      <alignment horizontal="left" vertical="center" wrapText="1"/>
      <protection locked="0"/>
    </xf>
    <xf numFmtId="0" fontId="0" fillId="19" borderId="21" xfId="0" applyFill="1" applyBorder="1" applyAlignment="1" applyProtection="1">
      <alignment horizontal="left" vertical="center" wrapText="1"/>
      <protection locked="0"/>
    </xf>
    <xf numFmtId="0" fontId="0" fillId="6" borderId="1" xfId="0" applyFill="1" applyBorder="1" applyAlignment="1" applyProtection="1">
      <alignment horizontal="left" vertical="top" wrapText="1"/>
      <protection locked="0"/>
    </xf>
    <xf numFmtId="0" fontId="0" fillId="6" borderId="11" xfId="0" applyFill="1" applyBorder="1" applyAlignment="1" applyProtection="1">
      <alignment horizontal="left" vertical="top" wrapText="1"/>
      <protection locked="0"/>
    </xf>
    <xf numFmtId="0" fontId="0" fillId="6" borderId="19" xfId="0" applyFill="1" applyBorder="1" applyAlignment="1" applyProtection="1">
      <alignment horizontal="left" vertical="top" wrapText="1"/>
      <protection locked="0"/>
    </xf>
    <xf numFmtId="0" fontId="0" fillId="6" borderId="12" xfId="0" applyFill="1" applyBorder="1" applyAlignment="1" applyProtection="1">
      <alignment horizontal="left" vertical="top" wrapText="1"/>
      <protection locked="0"/>
    </xf>
    <xf numFmtId="0" fontId="2" fillId="4" borderId="38" xfId="0" applyFont="1" applyFill="1" applyBorder="1" applyAlignment="1">
      <alignment horizontal="center"/>
    </xf>
    <xf numFmtId="0" fontId="2" fillId="4" borderId="28" xfId="0" applyFont="1" applyFill="1" applyBorder="1" applyAlignment="1">
      <alignment horizontal="center"/>
    </xf>
    <xf numFmtId="170" fontId="0" fillId="13" borderId="2" xfId="2" applyNumberFormat="1" applyFont="1" applyFill="1" applyBorder="1" applyAlignment="1">
      <alignment horizontal="right"/>
    </xf>
    <xf numFmtId="170" fontId="0" fillId="13" borderId="3" xfId="2" applyNumberFormat="1" applyFont="1" applyFill="1" applyBorder="1" applyAlignment="1">
      <alignment horizontal="right"/>
    </xf>
    <xf numFmtId="170" fontId="0" fillId="13" borderId="21" xfId="2" applyNumberFormat="1" applyFont="1" applyFill="1" applyBorder="1" applyAlignment="1">
      <alignment horizontal="right"/>
    </xf>
    <xf numFmtId="2" fontId="0" fillId="13" borderId="37" xfId="2" applyFont="1" applyFill="1" applyBorder="1" applyAlignment="1">
      <alignment horizontal="right" vertical="center"/>
    </xf>
    <xf numFmtId="2" fontId="0" fillId="13" borderId="36" xfId="2" applyFont="1" applyFill="1" applyBorder="1" applyAlignment="1">
      <alignment horizontal="right" vertical="center"/>
    </xf>
    <xf numFmtId="2" fontId="0" fillId="13" borderId="12" xfId="2" applyFont="1" applyFill="1" applyBorder="1" applyAlignment="1">
      <alignment horizontal="right" vertical="center"/>
    </xf>
    <xf numFmtId="0" fontId="0" fillId="0" borderId="39" xfId="0" applyBorder="1" applyAlignment="1">
      <alignment horizontal="left" vertical="center" wrapText="1"/>
    </xf>
    <xf numFmtId="0" fontId="0" fillId="0" borderId="48" xfId="0" applyBorder="1" applyAlignment="1">
      <alignment horizontal="left" vertical="center" wrapText="1"/>
    </xf>
    <xf numFmtId="170" fontId="0" fillId="13" borderId="48" xfId="2" applyNumberFormat="1" applyFont="1" applyFill="1" applyBorder="1" applyAlignment="1">
      <alignment horizontal="right"/>
    </xf>
    <xf numFmtId="170" fontId="0" fillId="13" borderId="51" xfId="2" applyNumberFormat="1" applyFont="1" applyFill="1" applyBorder="1" applyAlignment="1">
      <alignment horizontal="right"/>
    </xf>
    <xf numFmtId="0" fontId="7" fillId="0" borderId="10" xfId="3" applyFont="1" applyBorder="1" applyAlignment="1" applyProtection="1">
      <alignment horizontal="center" vertical="center" wrapText="1"/>
    </xf>
    <xf numFmtId="0" fontId="7" fillId="0" borderId="3" xfId="3" applyFont="1" applyBorder="1" applyAlignment="1" applyProtection="1">
      <alignment horizontal="center" vertical="center" wrapText="1"/>
    </xf>
    <xf numFmtId="0" fontId="7" fillId="0" borderId="21" xfId="3" applyFont="1" applyBorder="1" applyAlignment="1" applyProtection="1">
      <alignment horizontal="center" vertical="center" wrapText="1"/>
    </xf>
    <xf numFmtId="14" fontId="0" fillId="13" borderId="20" xfId="0" applyNumberFormat="1" applyFill="1" applyBorder="1" applyAlignment="1">
      <alignment horizontal="center" vertical="top" wrapText="1"/>
    </xf>
    <xf numFmtId="14" fontId="0" fillId="13" borderId="14" xfId="0" applyNumberFormat="1" applyFill="1" applyBorder="1" applyAlignment="1">
      <alignment horizontal="center" vertical="top" wrapText="1"/>
    </xf>
    <xf numFmtId="0" fontId="4" fillId="13" borderId="2" xfId="0" applyFont="1" applyFill="1" applyBorder="1" applyAlignment="1">
      <alignment horizontal="center" vertical="center"/>
      <extLst>
        <ext xmlns:xfpb="http://schemas.microsoft.com/office/spreadsheetml/2022/featurepropertybag" uri="{C7286773-470A-42A8-94C5-96B5CB345126}">
          <xfpb:xfComplement i="0"/>
        </ext>
      </extLst>
    </xf>
    <xf numFmtId="0" fontId="4" fillId="13" borderId="3" xfId="0" applyFont="1" applyFill="1" applyBorder="1" applyAlignment="1">
      <alignment horizontal="center" vertical="center"/>
      <extLst>
        <ext xmlns:xfpb="http://schemas.microsoft.com/office/spreadsheetml/2022/featurepropertybag" uri="{C7286773-470A-42A8-94C5-96B5CB345126}">
          <xfpb:xfComplement i="0"/>
        </ext>
      </extLst>
    </xf>
    <xf numFmtId="0" fontId="4" fillId="13" borderId="21" xfId="0" applyFont="1" applyFill="1" applyBorder="1" applyAlignment="1">
      <alignment horizontal="center" vertical="center"/>
      <extLst>
        <ext xmlns:xfpb="http://schemas.microsoft.com/office/spreadsheetml/2022/featurepropertybag" uri="{C7286773-470A-42A8-94C5-96B5CB345126}">
          <xfpb:xfComplement i="0"/>
        </ext>
      </extLst>
    </xf>
    <xf numFmtId="0" fontId="13" fillId="19" borderId="2"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3" fillId="19" borderId="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3" fillId="19" borderId="2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10" xfId="0" applyFont="1" applyBorder="1" applyAlignment="1">
      <alignment horizontal="center" vertical="center" wrapText="1"/>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21" xfId="0" applyBorder="1" applyAlignment="1" applyProtection="1">
      <alignment horizontal="center"/>
      <protection locked="0"/>
    </xf>
    <xf numFmtId="0" fontId="2" fillId="3" borderId="28" xfId="0" applyFont="1" applyFill="1" applyBorder="1" applyAlignment="1">
      <alignment horizontal="center" vertical="center"/>
    </xf>
    <xf numFmtId="0" fontId="2" fillId="3" borderId="67" xfId="0" applyFont="1" applyFill="1" applyBorder="1" applyAlignment="1">
      <alignment horizontal="center" vertical="center"/>
    </xf>
    <xf numFmtId="0" fontId="40" fillId="0" borderId="64" xfId="3" applyFont="1" applyFill="1" applyBorder="1" applyAlignment="1" applyProtection="1">
      <alignment horizontal="center" vertical="center" wrapText="1"/>
    </xf>
    <xf numFmtId="2" fontId="0" fillId="6" borderId="27" xfId="0" applyNumberFormat="1" applyFill="1" applyBorder="1" applyAlignment="1" applyProtection="1">
      <alignment horizontal="right" wrapText="1"/>
      <protection locked="0"/>
    </xf>
    <xf numFmtId="2" fontId="0" fillId="6" borderId="73" xfId="0" applyNumberFormat="1" applyFill="1" applyBorder="1" applyAlignment="1" applyProtection="1">
      <alignment horizontal="right" wrapText="1"/>
      <protection locked="0"/>
    </xf>
    <xf numFmtId="2" fontId="0" fillId="6" borderId="16" xfId="0" applyNumberFormat="1" applyFill="1" applyBorder="1" applyAlignment="1" applyProtection="1">
      <alignment horizontal="right" wrapText="1"/>
      <protection locked="0"/>
    </xf>
    <xf numFmtId="2" fontId="0" fillId="6" borderId="24" xfId="0" applyNumberFormat="1" applyFill="1" applyBorder="1" applyAlignment="1" applyProtection="1">
      <alignment horizontal="right" wrapText="1"/>
      <protection locked="0"/>
    </xf>
    <xf numFmtId="0" fontId="2" fillId="4" borderId="38" xfId="0" applyFont="1" applyFill="1" applyBorder="1" applyAlignment="1">
      <alignment horizontal="center" vertical="center" wrapText="1"/>
    </xf>
    <xf numFmtId="0" fontId="2" fillId="4" borderId="65"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0" fillId="6" borderId="2" xfId="0" applyFill="1" applyBorder="1" applyAlignment="1" applyProtection="1">
      <alignment horizontal="center" vertical="center" wrapText="1"/>
      <protection locked="0"/>
    </xf>
    <xf numFmtId="0" fontId="0" fillId="6" borderId="3" xfId="0" applyFill="1" applyBorder="1" applyAlignment="1" applyProtection="1">
      <alignment horizontal="center" vertical="center" wrapText="1"/>
      <protection locked="0"/>
    </xf>
    <xf numFmtId="0" fontId="0" fillId="6" borderId="21" xfId="0" applyFill="1" applyBorder="1" applyAlignment="1" applyProtection="1">
      <alignment horizontal="center" vertical="center" wrapText="1"/>
      <protection locked="0"/>
    </xf>
    <xf numFmtId="0" fontId="4" fillId="19" borderId="2"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19" borderId="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19" borderId="2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0" borderId="19" xfId="0" applyBorder="1" applyAlignment="1">
      <alignment horizontal="left"/>
    </xf>
    <xf numFmtId="0" fontId="0" fillId="0" borderId="20" xfId="0" applyBorder="1" applyAlignment="1">
      <alignment horizontal="left"/>
    </xf>
    <xf numFmtId="0" fontId="0" fillId="0" borderId="18" xfId="0" applyBorder="1" applyAlignment="1">
      <alignment horizontal="left"/>
    </xf>
    <xf numFmtId="0" fontId="0" fillId="0" borderId="1" xfId="0" applyBorder="1" applyAlignment="1">
      <alignment horizontal="left"/>
    </xf>
    <xf numFmtId="0" fontId="0" fillId="19" borderId="7"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8"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19" borderId="9"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2" fontId="2" fillId="0" borderId="25" xfId="0" applyNumberFormat="1" applyFont="1" applyBorder="1" applyAlignment="1">
      <alignment horizontal="center" vertical="center"/>
    </xf>
    <xf numFmtId="2" fontId="2" fillId="0" borderId="0" xfId="0" applyNumberFormat="1" applyFont="1" applyAlignment="1">
      <alignment horizontal="center" vertical="center"/>
    </xf>
    <xf numFmtId="0" fontId="2" fillId="3" borderId="73" xfId="0" applyFont="1" applyFill="1" applyBorder="1" applyAlignment="1">
      <alignment horizontal="center" vertical="center"/>
    </xf>
    <xf numFmtId="0" fontId="40" fillId="0" borderId="2" xfId="3" applyFont="1" applyFill="1" applyBorder="1" applyAlignment="1" applyProtection="1">
      <alignment horizontal="center" vertical="center"/>
    </xf>
    <xf numFmtId="2" fontId="1" fillId="13" borderId="2" xfId="2" applyFill="1" applyBorder="1" applyAlignment="1">
      <alignment horizontal="center"/>
    </xf>
    <xf numFmtId="2" fontId="1" fillId="13" borderId="3" xfId="2" applyFill="1" applyBorder="1" applyAlignment="1">
      <alignment horizontal="center"/>
    </xf>
    <xf numFmtId="2" fontId="1" fillId="13" borderId="4" xfId="2" applyFill="1" applyBorder="1" applyAlignment="1">
      <alignment horizontal="center"/>
    </xf>
    <xf numFmtId="0" fontId="0" fillId="6" borderId="8" xfId="0" applyFill="1" applyBorder="1" applyAlignment="1" applyProtection="1">
      <alignment horizontal="center"/>
      <protection locked="0"/>
    </xf>
    <xf numFmtId="0" fontId="6" fillId="0" borderId="12" xfId="3" applyFill="1" applyBorder="1"/>
    <xf numFmtId="0" fontId="6" fillId="0" borderId="27" xfId="3" applyFill="1" applyBorder="1"/>
    <xf numFmtId="0" fontId="6" fillId="0" borderId="13" xfId="3" applyFill="1" applyBorder="1"/>
    <xf numFmtId="0" fontId="4" fillId="7" borderId="86" xfId="0" applyFont="1" applyFill="1" applyBorder="1" applyAlignment="1">
      <alignment horizontal="center"/>
    </xf>
    <xf numFmtId="0" fontId="4" fillId="7" borderId="87" xfId="0" applyFont="1" applyFill="1" applyBorder="1" applyAlignment="1">
      <alignment horizontal="center"/>
    </xf>
    <xf numFmtId="0" fontId="4" fillId="7" borderId="88" xfId="0" applyFont="1" applyFill="1" applyBorder="1" applyAlignment="1">
      <alignment horizontal="center"/>
    </xf>
    <xf numFmtId="0" fontId="4" fillId="19" borderId="7" xfId="0" applyFont="1" applyFill="1" applyBorder="1" applyAlignment="1">
      <alignment horizontal="left" vertical="center"/>
    </xf>
    <xf numFmtId="0" fontId="4" fillId="19" borderId="8" xfId="0" applyFont="1" applyFill="1" applyBorder="1" applyAlignment="1">
      <alignment horizontal="left" vertical="center"/>
    </xf>
    <xf numFmtId="0" fontId="4" fillId="19" borderId="73" xfId="0" applyFont="1" applyFill="1" applyBorder="1" applyAlignment="1">
      <alignment horizontal="left" vertical="center"/>
    </xf>
    <xf numFmtId="0" fontId="2" fillId="0" borderId="11" xfId="0" applyFont="1" applyBorder="1" applyAlignment="1">
      <alignment horizontal="center" vertical="center"/>
    </xf>
    <xf numFmtId="0" fontId="2" fillId="13" borderId="48" xfId="2" applyNumberFormat="1" applyFont="1" applyFill="1" applyBorder="1" applyAlignment="1">
      <alignment horizontal="center"/>
    </xf>
    <xf numFmtId="0" fontId="2" fillId="13" borderId="51" xfId="2" applyNumberFormat="1" applyFont="1" applyFill="1" applyBorder="1" applyAlignment="1">
      <alignment horizontal="center"/>
    </xf>
    <xf numFmtId="0" fontId="0" fillId="0" borderId="2" xfId="0" applyBorder="1" applyAlignment="1">
      <alignment horizontal="left" vertical="center" wrapText="1"/>
    </xf>
    <xf numFmtId="0" fontId="0" fillId="0" borderId="37" xfId="0" applyBorder="1" applyAlignment="1">
      <alignment horizontal="left" vertical="center" wrapText="1"/>
    </xf>
    <xf numFmtId="2" fontId="0" fillId="0" borderId="1" xfId="0" applyNumberFormat="1" applyBorder="1" applyAlignment="1" applyProtection="1">
      <alignment horizontal="right"/>
      <protection locked="0"/>
    </xf>
    <xf numFmtId="2" fontId="0" fillId="0" borderId="11" xfId="0" applyNumberFormat="1" applyBorder="1" applyAlignment="1" applyProtection="1">
      <alignment horizontal="right"/>
      <protection locked="0"/>
    </xf>
    <xf numFmtId="2" fontId="0" fillId="13" borderId="37" xfId="0" applyNumberFormat="1" applyFill="1" applyBorder="1" applyAlignment="1">
      <alignment horizontal="right"/>
    </xf>
    <xf numFmtId="0" fontId="40" fillId="0" borderId="7" xfId="3" applyFont="1" applyFill="1" applyBorder="1" applyAlignment="1" applyProtection="1">
      <alignment horizontal="center" vertical="center"/>
    </xf>
    <xf numFmtId="2" fontId="0" fillId="0" borderId="2" xfId="0" applyNumberFormat="1" applyBorder="1" applyAlignment="1" applyProtection="1">
      <alignment horizontal="right"/>
      <protection locked="0"/>
    </xf>
    <xf numFmtId="2" fontId="0" fillId="0" borderId="3" xfId="0" applyNumberFormat="1" applyBorder="1" applyAlignment="1" applyProtection="1">
      <alignment horizontal="right"/>
      <protection locked="0"/>
    </xf>
    <xf numFmtId="2" fontId="0" fillId="0" borderId="21" xfId="0" applyNumberFormat="1" applyBorder="1" applyAlignment="1" applyProtection="1">
      <alignment horizontal="right"/>
      <protection locked="0"/>
    </xf>
    <xf numFmtId="0" fontId="2" fillId="3" borderId="59" xfId="0" applyFont="1" applyFill="1" applyBorder="1" applyAlignment="1">
      <alignment horizontal="center" vertical="center"/>
    </xf>
    <xf numFmtId="0" fontId="2" fillId="0" borderId="25" xfId="0" applyFont="1" applyBorder="1" applyAlignment="1">
      <alignment horizontal="center"/>
    </xf>
    <xf numFmtId="0" fontId="2" fillId="0" borderId="0" xfId="0" applyFont="1" applyAlignment="1">
      <alignment horizontal="center"/>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2" fontId="0" fillId="13" borderId="46" xfId="2" applyFont="1" applyFill="1" applyBorder="1" applyAlignment="1">
      <alignment horizontal="center"/>
    </xf>
    <xf numFmtId="2" fontId="0" fillId="13" borderId="5" xfId="2" applyFont="1" applyFill="1" applyBorder="1" applyAlignment="1">
      <alignment horizontal="center"/>
    </xf>
    <xf numFmtId="2" fontId="0" fillId="13" borderId="53" xfId="2" applyFont="1" applyFill="1" applyBorder="1" applyAlignment="1">
      <alignment horizontal="center"/>
    </xf>
    <xf numFmtId="2" fontId="0" fillId="6" borderId="37" xfId="0" applyNumberFormat="1" applyFill="1" applyBorder="1" applyAlignment="1" applyProtection="1">
      <alignment horizontal="right" wrapText="1"/>
      <protection locked="0"/>
    </xf>
    <xf numFmtId="2" fontId="0" fillId="6" borderId="13" xfId="0" applyNumberFormat="1" applyFill="1" applyBorder="1" applyAlignment="1" applyProtection="1">
      <alignment horizontal="right" wrapText="1"/>
      <protection locked="0"/>
    </xf>
    <xf numFmtId="170" fontId="1" fillId="13" borderId="1" xfId="2" applyNumberFormat="1" applyFill="1" applyAlignment="1">
      <alignment horizontal="right"/>
    </xf>
    <xf numFmtId="170" fontId="1" fillId="13" borderId="11" xfId="2" applyNumberFormat="1" applyFill="1" applyBorder="1" applyAlignment="1">
      <alignment horizontal="right"/>
    </xf>
    <xf numFmtId="0" fontId="40" fillId="0" borderId="52" xfId="3" applyFont="1" applyFill="1" applyBorder="1" applyAlignment="1" applyProtection="1">
      <alignment horizontal="center" vertical="center"/>
    </xf>
    <xf numFmtId="0" fontId="40" fillId="0" borderId="62" xfId="3" applyFont="1" applyFill="1" applyBorder="1" applyAlignment="1" applyProtection="1">
      <alignment horizontal="center" vertical="center"/>
    </xf>
    <xf numFmtId="0" fontId="2" fillId="3" borderId="59" xfId="0" applyFont="1" applyFill="1" applyBorder="1" applyAlignment="1">
      <alignment horizontal="center"/>
    </xf>
    <xf numFmtId="0" fontId="2" fillId="4" borderId="67" xfId="0" applyFont="1" applyFill="1" applyBorder="1" applyAlignment="1">
      <alignment horizontal="center"/>
    </xf>
    <xf numFmtId="0" fontId="40" fillId="0" borderId="51" xfId="3" applyFont="1" applyFill="1" applyBorder="1" applyAlignment="1" applyProtection="1">
      <alignment horizontal="center" vertical="center" wrapText="1"/>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0" fillId="0" borderId="12" xfId="0" applyBorder="1" applyAlignment="1">
      <alignment horizontal="left"/>
    </xf>
    <xf numFmtId="0" fontId="0" fillId="0" borderId="27" xfId="0" applyBorder="1" applyAlignment="1">
      <alignment horizontal="left"/>
    </xf>
    <xf numFmtId="0" fontId="0" fillId="0" borderId="13" xfId="0" applyBorder="1" applyAlignment="1">
      <alignment horizontal="left"/>
    </xf>
    <xf numFmtId="0" fontId="0" fillId="0" borderId="49" xfId="0" applyBorder="1" applyAlignment="1">
      <alignment horizontal="left"/>
    </xf>
    <xf numFmtId="0" fontId="0" fillId="0" borderId="41" xfId="0" applyBorder="1" applyAlignment="1">
      <alignment horizontal="left"/>
    </xf>
    <xf numFmtId="0" fontId="0" fillId="0" borderId="40" xfId="0" applyBorder="1" applyAlignment="1">
      <alignment horizontal="left"/>
    </xf>
    <xf numFmtId="0" fontId="0" fillId="0" borderId="10" xfId="0" applyBorder="1" applyAlignment="1">
      <alignment horizontal="left"/>
    </xf>
    <xf numFmtId="0" fontId="0" fillId="0" borderId="3" xfId="0" applyBorder="1" applyAlignment="1">
      <alignment horizontal="left"/>
    </xf>
    <xf numFmtId="0" fontId="0" fillId="0" borderId="4" xfId="0" applyBorder="1" applyAlignment="1">
      <alignment horizontal="left"/>
    </xf>
    <xf numFmtId="2" fontId="0" fillId="6" borderId="2" xfId="0" applyNumberFormat="1" applyFill="1" applyBorder="1" applyAlignment="1" applyProtection="1">
      <alignment horizontal="right" vertical="center"/>
      <protection locked="0"/>
    </xf>
    <xf numFmtId="2" fontId="0" fillId="6" borderId="3" xfId="0" applyNumberFormat="1" applyFill="1" applyBorder="1" applyAlignment="1" applyProtection="1">
      <alignment horizontal="right" vertical="center"/>
      <protection locked="0"/>
    </xf>
    <xf numFmtId="2" fontId="0" fillId="13" borderId="37" xfId="0" applyNumberFormat="1" applyFill="1" applyBorder="1" applyAlignment="1" applyProtection="1">
      <alignment horizontal="right" vertical="center"/>
      <protection locked="0"/>
    </xf>
    <xf numFmtId="2" fontId="0" fillId="13" borderId="27" xfId="0" applyNumberFormat="1" applyFill="1" applyBorder="1" applyAlignment="1" applyProtection="1">
      <alignment horizontal="right" vertical="center"/>
      <protection locked="0"/>
    </xf>
    <xf numFmtId="2" fontId="0" fillId="13" borderId="13" xfId="0" applyNumberFormat="1" applyFill="1" applyBorder="1" applyAlignment="1" applyProtection="1">
      <alignment horizontal="right" vertical="center"/>
      <protection locked="0"/>
    </xf>
    <xf numFmtId="2" fontId="2" fillId="0" borderId="40" xfId="0" applyNumberFormat="1" applyFont="1" applyBorder="1" applyAlignment="1">
      <alignment horizontal="center" vertical="center"/>
    </xf>
    <xf numFmtId="2" fontId="2" fillId="0" borderId="6" xfId="0" applyNumberFormat="1" applyFont="1" applyBorder="1" applyAlignment="1">
      <alignment horizontal="center" vertical="center"/>
    </xf>
    <xf numFmtId="2" fontId="0" fillId="0" borderId="37" xfId="0" applyNumberFormat="1" applyBorder="1" applyAlignment="1" applyProtection="1">
      <alignment horizontal="right"/>
      <protection locked="0"/>
    </xf>
    <xf numFmtId="2" fontId="0" fillId="0" borderId="27" xfId="0" applyNumberFormat="1" applyBorder="1" applyAlignment="1" applyProtection="1">
      <alignment horizontal="right"/>
      <protection locked="0"/>
    </xf>
    <xf numFmtId="2" fontId="0" fillId="0" borderId="36" xfId="0" applyNumberFormat="1" applyBorder="1" applyAlignment="1" applyProtection="1">
      <alignment horizontal="right"/>
      <protection locked="0"/>
    </xf>
    <xf numFmtId="2" fontId="0" fillId="7" borderId="81" xfId="2" applyFont="1" applyFill="1" applyBorder="1" applyAlignment="1">
      <alignment horizontal="center"/>
    </xf>
    <xf numFmtId="2" fontId="0" fillId="7" borderId="82" xfId="2" applyFont="1" applyFill="1" applyBorder="1" applyAlignment="1">
      <alignment horizontal="center"/>
    </xf>
    <xf numFmtId="0" fontId="25" fillId="19" borderId="3" xfId="0" applyFont="1" applyFill="1" applyBorder="1" applyAlignment="1">
      <alignment horizontal="center" wrapText="1"/>
    </xf>
    <xf numFmtId="2" fontId="0" fillId="13" borderId="73" xfId="2" applyFont="1" applyFill="1" applyBorder="1" applyAlignment="1">
      <alignment horizontal="center"/>
    </xf>
    <xf numFmtId="2" fontId="0" fillId="13" borderId="16" xfId="2" applyFont="1" applyFill="1" applyBorder="1" applyAlignment="1">
      <alignment horizontal="center"/>
    </xf>
    <xf numFmtId="2" fontId="0" fillId="13" borderId="24" xfId="2" applyFont="1" applyFill="1" applyBorder="1" applyAlignment="1">
      <alignment horizontal="center"/>
    </xf>
    <xf numFmtId="2" fontId="0" fillId="6" borderId="37" xfId="0" applyNumberFormat="1" applyFill="1" applyBorder="1" applyAlignment="1" applyProtection="1">
      <alignment horizontal="right"/>
      <protection locked="0"/>
    </xf>
    <xf numFmtId="2" fontId="0" fillId="6" borderId="27" xfId="0" applyNumberFormat="1" applyFill="1" applyBorder="1" applyAlignment="1" applyProtection="1">
      <alignment horizontal="right"/>
      <protection locked="0"/>
    </xf>
    <xf numFmtId="2" fontId="0" fillId="6" borderId="13" xfId="0" applyNumberFormat="1" applyFill="1" applyBorder="1" applyAlignment="1" applyProtection="1">
      <alignment horizontal="right"/>
      <protection locked="0"/>
    </xf>
    <xf numFmtId="2" fontId="0" fillId="6" borderId="6" xfId="0" applyNumberFormat="1" applyFill="1" applyBorder="1" applyAlignment="1" applyProtection="1">
      <alignment horizontal="right"/>
      <protection locked="0"/>
    </xf>
    <xf numFmtId="0" fontId="0" fillId="6" borderId="48" xfId="0" applyFill="1" applyBorder="1" applyAlignment="1" applyProtection="1">
      <alignment horizontal="center"/>
      <protection locked="0"/>
    </xf>
    <xf numFmtId="0" fontId="40" fillId="0" borderId="48" xfId="3" applyFont="1" applyFill="1" applyBorder="1" applyAlignment="1" applyProtection="1">
      <alignment horizontal="center" vertical="center"/>
    </xf>
    <xf numFmtId="0" fontId="40" fillId="0" borderId="50" xfId="3" applyFont="1" applyFill="1" applyBorder="1" applyAlignment="1" applyProtection="1">
      <alignment horizontal="center" vertical="center"/>
    </xf>
    <xf numFmtId="0" fontId="40" fillId="0" borderId="6" xfId="3" applyFont="1" applyFill="1" applyBorder="1" applyAlignment="1" applyProtection="1">
      <alignment horizontal="center" vertical="center"/>
    </xf>
    <xf numFmtId="0" fontId="40" fillId="0" borderId="85" xfId="3" applyFont="1" applyFill="1" applyBorder="1" applyAlignment="1" applyProtection="1">
      <alignment horizontal="center" vertical="center" wrapText="1"/>
    </xf>
    <xf numFmtId="0" fontId="40" fillId="0" borderId="44" xfId="3" applyFont="1" applyFill="1" applyBorder="1" applyAlignment="1" applyProtection="1">
      <alignment horizontal="center" vertical="center" wrapText="1"/>
    </xf>
    <xf numFmtId="0" fontId="0" fillId="0" borderId="90" xfId="0" applyBorder="1" applyAlignment="1">
      <alignment horizontal="left" vertical="center" wrapText="1"/>
    </xf>
    <xf numFmtId="0" fontId="0" fillId="0" borderId="32" xfId="0" applyBorder="1" applyAlignment="1">
      <alignment horizontal="left" vertical="center" wrapText="1"/>
    </xf>
    <xf numFmtId="0" fontId="4" fillId="19" borderId="2" xfId="0" applyFont="1" applyFill="1" applyBorder="1" applyAlignment="1">
      <alignment horizontal="center" vertical="top" wrapText="1"/>
    </xf>
    <xf numFmtId="0" fontId="4" fillId="19" borderId="3" xfId="0" applyFont="1" applyFill="1" applyBorder="1" applyAlignment="1">
      <alignment horizontal="center" vertical="top" wrapText="1"/>
    </xf>
    <xf numFmtId="0" fontId="4" fillId="19" borderId="4" xfId="0" applyFont="1" applyFill="1" applyBorder="1" applyAlignment="1">
      <alignment horizontal="center" vertical="top" wrapText="1"/>
    </xf>
    <xf numFmtId="0" fontId="0" fillId="19" borderId="2" xfId="0" applyFill="1" applyBorder="1" applyAlignment="1" applyProtection="1">
      <alignment horizontal="center" vertical="top" wrapText="1"/>
      <protection locked="0"/>
    </xf>
    <xf numFmtId="0" fontId="0" fillId="19" borderId="3" xfId="0" applyFill="1" applyBorder="1" applyAlignment="1" applyProtection="1">
      <alignment horizontal="center" vertical="top" wrapText="1"/>
      <protection locked="0"/>
    </xf>
    <xf numFmtId="0" fontId="0" fillId="19" borderId="21" xfId="0" applyFill="1" applyBorder="1" applyAlignment="1" applyProtection="1">
      <alignment horizontal="center" vertical="top" wrapText="1"/>
      <protection locked="0"/>
    </xf>
    <xf numFmtId="0" fontId="0" fillId="6" borderId="2" xfId="0" applyFill="1" applyBorder="1" applyAlignment="1" applyProtection="1">
      <alignment horizontal="left" vertical="center"/>
      <protection locked="0"/>
    </xf>
    <xf numFmtId="0" fontId="0" fillId="6" borderId="3" xfId="0" applyFill="1" applyBorder="1" applyAlignment="1" applyProtection="1">
      <alignment horizontal="left" vertical="center"/>
      <protection locked="0"/>
    </xf>
    <xf numFmtId="0" fontId="0" fillId="6" borderId="21" xfId="0" applyFill="1" applyBorder="1" applyAlignment="1" applyProtection="1">
      <alignment horizontal="left" vertical="center"/>
      <protection locked="0"/>
    </xf>
    <xf numFmtId="0" fontId="0" fillId="0" borderId="11" xfId="0" applyBorder="1" applyAlignment="1" applyProtection="1">
      <alignment horizontal="center" vertical="center"/>
      <protection locked="0"/>
    </xf>
    <xf numFmtId="0" fontId="0" fillId="6" borderId="27" xfId="0" applyFill="1" applyBorder="1" applyAlignment="1" applyProtection="1">
      <alignment horizontal="left" vertical="top"/>
      <protection locked="0"/>
    </xf>
    <xf numFmtId="0" fontId="0" fillId="6" borderId="36" xfId="0" applyFill="1" applyBorder="1" applyAlignment="1" applyProtection="1">
      <alignment horizontal="left" vertical="top"/>
      <protection locked="0"/>
    </xf>
    <xf numFmtId="0" fontId="0" fillId="0" borderId="36" xfId="0" applyBorder="1" applyAlignment="1" applyProtection="1">
      <alignment horizontal="left" vertical="top" wrapText="1"/>
      <protection locked="0"/>
    </xf>
    <xf numFmtId="0" fontId="2" fillId="7" borderId="25" xfId="0" applyFont="1" applyFill="1" applyBorder="1" applyAlignment="1">
      <alignment horizontal="center" vertical="center"/>
    </xf>
    <xf numFmtId="0" fontId="0" fillId="6" borderId="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1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1" xfId="0" applyFill="1" applyBorder="1" applyAlignment="1" applyProtection="1">
      <alignment horizontal="left" vertical="top"/>
      <protection locked="0"/>
    </xf>
    <xf numFmtId="0" fontId="0" fillId="6" borderId="11" xfId="0" applyFill="1" applyBorder="1" applyAlignment="1" applyProtection="1">
      <alignment horizontal="left" vertical="top"/>
      <protection locked="0"/>
    </xf>
    <xf numFmtId="0" fontId="0" fillId="6" borderId="5" xfId="0" applyFill="1" applyBorder="1" applyAlignment="1" applyProtection="1">
      <alignment horizontal="left" vertical="top"/>
      <protection locked="0"/>
    </xf>
    <xf numFmtId="0" fontId="0" fillId="6" borderId="47" xfId="0" applyFill="1" applyBorder="1" applyAlignment="1" applyProtection="1">
      <alignment horizontal="left" vertical="top"/>
      <protection locked="0"/>
    </xf>
    <xf numFmtId="0" fontId="0" fillId="0" borderId="37"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2" fillId="4" borderId="7" xfId="0" applyFont="1" applyFill="1" applyBorder="1" applyAlignment="1">
      <alignment horizontal="center" wrapText="1"/>
    </xf>
    <xf numFmtId="0" fontId="2" fillId="4" borderId="8" xfId="0" applyFont="1" applyFill="1" applyBorder="1" applyAlignment="1">
      <alignment horizontal="center" wrapText="1"/>
    </xf>
    <xf numFmtId="0" fontId="2" fillId="4" borderId="9" xfId="0" applyFont="1" applyFill="1" applyBorder="1" applyAlignment="1">
      <alignment horizontal="center" wrapText="1"/>
    </xf>
    <xf numFmtId="0" fontId="4" fillId="7" borderId="68" xfId="0" applyFont="1" applyFill="1" applyBorder="1" applyAlignment="1">
      <alignment horizontal="center"/>
    </xf>
    <xf numFmtId="0" fontId="4" fillId="7" borderId="69" xfId="0" applyFont="1" applyFill="1" applyBorder="1" applyAlignment="1">
      <alignment horizontal="center"/>
    </xf>
    <xf numFmtId="0" fontId="4" fillId="7" borderId="70" xfId="0" applyFont="1" applyFill="1" applyBorder="1" applyAlignment="1">
      <alignment horizontal="center"/>
    </xf>
    <xf numFmtId="0" fontId="0" fillId="6" borderId="3"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21"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6" borderId="2"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2" fontId="0" fillId="6" borderId="43" xfId="0" applyNumberFormat="1" applyFill="1" applyBorder="1" applyAlignment="1" applyProtection="1">
      <alignment horizontal="right" vertical="center" wrapText="1"/>
      <protection locked="0"/>
    </xf>
    <xf numFmtId="2" fontId="0" fillId="6" borderId="41" xfId="0" applyNumberFormat="1" applyFill="1" applyBorder="1" applyAlignment="1" applyProtection="1">
      <alignment horizontal="right" vertical="center" wrapText="1"/>
      <protection locked="0"/>
    </xf>
    <xf numFmtId="2" fontId="0" fillId="6" borderId="56" xfId="0" applyNumberFormat="1" applyFill="1" applyBorder="1" applyAlignment="1" applyProtection="1">
      <alignment horizontal="right" vertical="center" wrapText="1"/>
      <protection locked="0"/>
    </xf>
    <xf numFmtId="2" fontId="0" fillId="6" borderId="37" xfId="0" applyNumberFormat="1" applyFill="1" applyBorder="1" applyAlignment="1" applyProtection="1">
      <alignment horizontal="right" vertical="center" wrapText="1"/>
      <protection locked="0"/>
    </xf>
    <xf numFmtId="2" fontId="0" fillId="6" borderId="27" xfId="0" applyNumberFormat="1" applyFill="1" applyBorder="1" applyAlignment="1" applyProtection="1">
      <alignment horizontal="right" vertical="center" wrapText="1"/>
      <protection locked="0"/>
    </xf>
    <xf numFmtId="2" fontId="0" fillId="6" borderId="36" xfId="0" applyNumberFormat="1" applyFill="1" applyBorder="1" applyAlignment="1" applyProtection="1">
      <alignment horizontal="right" vertical="center" wrapText="1"/>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4" fillId="19" borderId="10"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19" borderId="21" xfId="0" applyFont="1" applyFill="1" applyBorder="1" applyAlignment="1">
      <alignment horizontal="center" vertical="center" wrapText="1"/>
    </xf>
    <xf numFmtId="2" fontId="0" fillId="13" borderId="45" xfId="0" applyNumberFormat="1" applyFill="1" applyBorder="1" applyAlignment="1">
      <alignment horizontal="right" wrapText="1"/>
    </xf>
    <xf numFmtId="2" fontId="0" fillId="13" borderId="22" xfId="0" applyNumberFormat="1" applyFill="1" applyBorder="1" applyAlignment="1">
      <alignment horizontal="right" wrapText="1"/>
    </xf>
    <xf numFmtId="2" fontId="0" fillId="13" borderId="23" xfId="0" applyNumberFormat="1" applyFill="1" applyBorder="1" applyAlignment="1">
      <alignment horizontal="right" wrapText="1"/>
    </xf>
    <xf numFmtId="0" fontId="2" fillId="4" borderId="38" xfId="0" applyFont="1" applyFill="1" applyBorder="1" applyAlignment="1">
      <alignment horizontal="center" wrapText="1"/>
    </xf>
    <xf numFmtId="0" fontId="2" fillId="4" borderId="65" xfId="0" applyFont="1" applyFill="1" applyBorder="1" applyAlignment="1">
      <alignment horizontal="center" wrapText="1"/>
    </xf>
    <xf numFmtId="0" fontId="2" fillId="4" borderId="42" xfId="0" applyFont="1" applyFill="1" applyBorder="1" applyAlignment="1">
      <alignment horizontal="center" wrapText="1"/>
    </xf>
    <xf numFmtId="2" fontId="0" fillId="6" borderId="73" xfId="0" applyNumberFormat="1" applyFill="1" applyBorder="1" applyAlignment="1" applyProtection="1">
      <alignment horizontal="right" vertical="center" wrapText="1"/>
      <protection locked="0"/>
    </xf>
    <xf numFmtId="2" fontId="0" fillId="6" borderId="16" xfId="0" applyNumberFormat="1" applyFill="1" applyBorder="1" applyAlignment="1" applyProtection="1">
      <alignment horizontal="right" vertical="center" wrapText="1"/>
      <protection locked="0"/>
    </xf>
    <xf numFmtId="2" fontId="0" fillId="6" borderId="17" xfId="0" applyNumberFormat="1" applyFill="1" applyBorder="1" applyAlignment="1" applyProtection="1">
      <alignment horizontal="right" vertical="center" wrapText="1"/>
      <protection locked="0"/>
    </xf>
    <xf numFmtId="2" fontId="0" fillId="6" borderId="2" xfId="0" applyNumberFormat="1" applyFill="1" applyBorder="1" applyAlignment="1" applyProtection="1">
      <alignment horizontal="right" vertical="center" wrapText="1"/>
      <protection locked="0"/>
    </xf>
    <xf numFmtId="2" fontId="0" fillId="6" borderId="3" xfId="0" applyNumberFormat="1" applyFill="1" applyBorder="1" applyAlignment="1" applyProtection="1">
      <alignment horizontal="right" vertical="center" wrapText="1"/>
      <protection locked="0"/>
    </xf>
    <xf numFmtId="2" fontId="0" fillId="6" borderId="21" xfId="0" applyNumberFormat="1" applyFill="1" applyBorder="1" applyAlignment="1" applyProtection="1">
      <alignment horizontal="right" vertical="center" wrapText="1"/>
      <protection locked="0"/>
    </xf>
    <xf numFmtId="10" fontId="0" fillId="13" borderId="37" xfId="0" applyNumberFormat="1" applyFill="1" applyBorder="1" applyAlignment="1">
      <alignment horizontal="right" vertical="center" wrapText="1"/>
    </xf>
    <xf numFmtId="10" fontId="0" fillId="13" borderId="27" xfId="0" applyNumberFormat="1" applyFill="1" applyBorder="1" applyAlignment="1">
      <alignment horizontal="right" vertical="center" wrapText="1"/>
    </xf>
    <xf numFmtId="10" fontId="0" fillId="13" borderId="36" xfId="0" applyNumberFormat="1" applyFill="1" applyBorder="1" applyAlignment="1">
      <alignment horizontal="right" vertical="center" wrapText="1"/>
    </xf>
    <xf numFmtId="0" fontId="9" fillId="8" borderId="1" xfId="0" applyFont="1" applyFill="1" applyBorder="1" applyAlignment="1">
      <alignment horizontal="center" vertical="center" wrapText="1"/>
    </xf>
    <xf numFmtId="0" fontId="9" fillId="8" borderId="11" xfId="0" applyFont="1" applyFill="1" applyBorder="1" applyAlignment="1">
      <alignment horizontal="center" vertical="center" wrapText="1"/>
    </xf>
    <xf numFmtId="2" fontId="0" fillId="0" borderId="1" xfId="0" applyNumberFormat="1" applyBorder="1" applyAlignment="1" applyProtection="1">
      <alignment horizontal="right" vertical="center" wrapText="1"/>
      <protection locked="0"/>
    </xf>
    <xf numFmtId="2" fontId="0" fillId="0" borderId="11" xfId="0" applyNumberFormat="1" applyBorder="1" applyAlignment="1" applyProtection="1">
      <alignment horizontal="right" vertical="center" wrapText="1"/>
      <protection locked="0"/>
    </xf>
    <xf numFmtId="0" fontId="40" fillId="0" borderId="53" xfId="3" applyFont="1" applyFill="1" applyBorder="1" applyAlignment="1" applyProtection="1">
      <alignment horizontal="center" vertical="center" wrapText="1"/>
    </xf>
    <xf numFmtId="0" fontId="40" fillId="0" borderId="40" xfId="3" applyFont="1" applyFill="1" applyBorder="1" applyAlignment="1" applyProtection="1">
      <alignment horizontal="center" vertical="center" wrapText="1"/>
    </xf>
    <xf numFmtId="0" fontId="40" fillId="0" borderId="5" xfId="3" applyFont="1" applyFill="1" applyBorder="1" applyAlignment="1" applyProtection="1">
      <alignment horizontal="center" vertical="center" wrapText="1"/>
    </xf>
    <xf numFmtId="2" fontId="0" fillId="19" borderId="73" xfId="0" applyNumberFormat="1" applyFill="1" applyBorder="1" applyAlignment="1" applyProtection="1">
      <alignment horizontal="right" vertical="center" wrapText="1"/>
      <protection locked="0"/>
    </xf>
    <xf numFmtId="2" fontId="0" fillId="19" borderId="16" xfId="0" applyNumberFormat="1" applyFill="1" applyBorder="1" applyAlignment="1" applyProtection="1">
      <alignment horizontal="right" vertical="center" wrapText="1"/>
      <protection locked="0"/>
    </xf>
    <xf numFmtId="2" fontId="0" fillId="19" borderId="17" xfId="0" applyNumberFormat="1" applyFill="1" applyBorder="1" applyAlignment="1" applyProtection="1">
      <alignment horizontal="right" vertical="center" wrapText="1"/>
      <protection locked="0"/>
    </xf>
    <xf numFmtId="10" fontId="0" fillId="13" borderId="37" xfId="0" applyNumberFormat="1" applyFill="1" applyBorder="1" applyAlignment="1" applyProtection="1">
      <alignment horizontal="right" vertical="center"/>
      <protection locked="0"/>
    </xf>
    <xf numFmtId="10" fontId="0" fillId="13" borderId="27" xfId="0" applyNumberFormat="1" applyFill="1" applyBorder="1" applyAlignment="1" applyProtection="1">
      <alignment horizontal="right" vertical="center"/>
      <protection locked="0"/>
    </xf>
    <xf numFmtId="10" fontId="0" fillId="13" borderId="36" xfId="0" applyNumberFormat="1" applyFill="1" applyBorder="1" applyAlignment="1" applyProtection="1">
      <alignment horizontal="right" vertical="center"/>
      <protection locked="0"/>
    </xf>
    <xf numFmtId="0" fontId="2" fillId="3" borderId="7" xfId="0" applyFont="1" applyFill="1" applyBorder="1" applyAlignment="1">
      <alignment horizontal="center"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2" fontId="0" fillId="0" borderId="57" xfId="0" applyNumberFormat="1" applyBorder="1" applyAlignment="1" applyProtection="1">
      <alignment horizontal="right" vertical="center"/>
      <protection locked="0"/>
    </xf>
    <xf numFmtId="2" fontId="0" fillId="0" borderId="58" xfId="0" applyNumberFormat="1" applyBorder="1" applyAlignment="1" applyProtection="1">
      <alignment horizontal="right" vertical="center"/>
      <protection locked="0"/>
    </xf>
    <xf numFmtId="0" fontId="0" fillId="0" borderId="48" xfId="0" applyBorder="1" applyAlignment="1" applyProtection="1">
      <alignment horizontal="center" vertical="center" wrapText="1"/>
      <protection locked="0"/>
    </xf>
    <xf numFmtId="0" fontId="0" fillId="0" borderId="51" xfId="0" applyBorder="1" applyAlignment="1" applyProtection="1">
      <alignment horizontal="center" vertical="center" wrapText="1"/>
      <protection locked="0"/>
    </xf>
    <xf numFmtId="2" fontId="9" fillId="0" borderId="8" xfId="0" applyNumberFormat="1" applyFont="1" applyBorder="1" applyAlignment="1" applyProtection="1">
      <alignment horizontal="right" vertical="center" wrapText="1"/>
      <protection locked="0"/>
    </xf>
    <xf numFmtId="2" fontId="9" fillId="0" borderId="9" xfId="0" applyNumberFormat="1" applyFont="1" applyBorder="1" applyAlignment="1" applyProtection="1">
      <alignment horizontal="right" vertical="center" wrapText="1"/>
      <protection locked="0"/>
    </xf>
    <xf numFmtId="2" fontId="9" fillId="19" borderId="2" xfId="0" applyNumberFormat="1" applyFont="1" applyFill="1" applyBorder="1" applyAlignment="1" applyProtection="1">
      <alignment horizontal="right" vertical="center" wrapText="1"/>
      <protection locked="0"/>
    </xf>
    <xf numFmtId="2" fontId="9" fillId="19" borderId="3" xfId="0" applyNumberFormat="1" applyFont="1" applyFill="1" applyBorder="1" applyAlignment="1" applyProtection="1">
      <alignment horizontal="right" vertical="center" wrapText="1"/>
      <protection locked="0"/>
    </xf>
    <xf numFmtId="2" fontId="9" fillId="19" borderId="21" xfId="0" applyNumberFormat="1" applyFont="1" applyFill="1" applyBorder="1" applyAlignment="1" applyProtection="1">
      <alignment horizontal="right" vertical="center" wrapText="1"/>
      <protection locked="0"/>
    </xf>
    <xf numFmtId="2" fontId="0" fillId="13" borderId="2" xfId="0" applyNumberFormat="1" applyFill="1" applyBorder="1" applyAlignment="1" applyProtection="1">
      <alignment horizontal="right" vertical="center" wrapText="1"/>
      <protection locked="0"/>
    </xf>
    <xf numFmtId="2" fontId="0" fillId="13" borderId="3" xfId="0" applyNumberFormat="1" applyFill="1" applyBorder="1" applyAlignment="1" applyProtection="1">
      <alignment horizontal="right" vertical="center" wrapText="1"/>
      <protection locked="0"/>
    </xf>
    <xf numFmtId="2" fontId="0" fillId="13" borderId="21" xfId="0" applyNumberFormat="1" applyFill="1" applyBorder="1" applyAlignment="1" applyProtection="1">
      <alignment horizontal="right" vertical="center" wrapText="1"/>
      <protection locked="0"/>
    </xf>
    <xf numFmtId="2" fontId="0" fillId="13" borderId="37" xfId="0" applyNumberFormat="1" applyFill="1" applyBorder="1" applyAlignment="1" applyProtection="1">
      <alignment horizontal="right" vertical="center" wrapText="1"/>
      <protection locked="0"/>
    </xf>
    <xf numFmtId="2" fontId="0" fillId="13" borderId="27" xfId="0" applyNumberFormat="1" applyFill="1" applyBorder="1" applyAlignment="1" applyProtection="1">
      <alignment horizontal="right" vertical="center" wrapText="1"/>
      <protection locked="0"/>
    </xf>
    <xf numFmtId="2" fontId="0" fillId="13" borderId="36" xfId="0" applyNumberFormat="1" applyFill="1" applyBorder="1" applyAlignment="1" applyProtection="1">
      <alignment horizontal="right" vertical="center" wrapText="1"/>
      <protection locked="0"/>
    </xf>
    <xf numFmtId="2" fontId="9" fillId="6" borderId="2" xfId="3" applyNumberFormat="1" applyFont="1" applyFill="1" applyBorder="1" applyAlignment="1" applyProtection="1">
      <alignment horizontal="right" vertical="center" wrapText="1"/>
      <protection locked="0"/>
    </xf>
    <xf numFmtId="2" fontId="9" fillId="6" borderId="11" xfId="3" applyNumberFormat="1" applyFont="1" applyFill="1" applyBorder="1" applyAlignment="1" applyProtection="1">
      <alignment horizontal="right" vertical="center" wrapText="1"/>
      <protection locked="0"/>
    </xf>
    <xf numFmtId="10" fontId="0" fillId="13" borderId="27" xfId="0" applyNumberFormat="1" applyFill="1" applyBorder="1" applyAlignment="1">
      <alignment horizontal="right" vertical="center"/>
    </xf>
    <xf numFmtId="10" fontId="0" fillId="13" borderId="36" xfId="0" applyNumberFormat="1" applyFill="1" applyBorder="1" applyAlignment="1">
      <alignment horizontal="right" vertical="center"/>
    </xf>
    <xf numFmtId="0" fontId="0" fillId="0" borderId="4" xfId="0" applyBorder="1" applyAlignment="1" applyProtection="1">
      <alignment horizontal="center"/>
      <protection locked="0"/>
    </xf>
    <xf numFmtId="2" fontId="0" fillId="6" borderId="1" xfId="0" applyNumberFormat="1" applyFill="1" applyBorder="1" applyAlignment="1" applyProtection="1">
      <alignment horizontal="right" wrapText="1"/>
      <protection locked="0"/>
    </xf>
    <xf numFmtId="2" fontId="0" fillId="6" borderId="11" xfId="0" applyNumberFormat="1" applyFill="1" applyBorder="1" applyAlignment="1" applyProtection="1">
      <alignment horizontal="right" wrapText="1"/>
      <protection locked="0"/>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2" fontId="0" fillId="13" borderId="20" xfId="0" applyNumberFormat="1" applyFill="1" applyBorder="1" applyAlignment="1">
      <alignment horizontal="right" wrapText="1"/>
    </xf>
    <xf numFmtId="2" fontId="0" fillId="13" borderId="14" xfId="0" applyNumberFormat="1" applyFill="1" applyBorder="1" applyAlignment="1">
      <alignment horizontal="right" wrapText="1"/>
    </xf>
    <xf numFmtId="0" fontId="2" fillId="3" borderId="7" xfId="0" applyFont="1" applyFill="1" applyBorder="1" applyAlignment="1">
      <alignment horizontal="center"/>
    </xf>
    <xf numFmtId="0" fontId="2" fillId="3" borderId="8" xfId="0" applyFont="1" applyFill="1" applyBorder="1" applyAlignment="1">
      <alignment horizontal="center"/>
    </xf>
    <xf numFmtId="0" fontId="2" fillId="3" borderId="9" xfId="0" applyFont="1" applyFill="1" applyBorder="1" applyAlignment="1">
      <alignment horizontal="center"/>
    </xf>
    <xf numFmtId="2" fontId="0" fillId="13" borderId="37" xfId="0" applyNumberFormat="1" applyFill="1" applyBorder="1" applyAlignment="1">
      <alignment horizontal="right" wrapText="1"/>
    </xf>
    <xf numFmtId="0" fontId="2"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2" fillId="7" borderId="0" xfId="0" applyFont="1" applyFill="1" applyAlignment="1">
      <alignment horizontal="center" vertical="center"/>
    </xf>
    <xf numFmtId="2" fontId="0" fillId="0" borderId="46" xfId="0" applyNumberFormat="1" applyBorder="1" applyAlignment="1" applyProtection="1">
      <alignment horizontal="right" wrapText="1"/>
      <protection locked="0"/>
    </xf>
    <xf numFmtId="2" fontId="0" fillId="0" borderId="5" xfId="0" applyNumberFormat="1" applyBorder="1" applyAlignment="1" applyProtection="1">
      <alignment horizontal="right" wrapText="1"/>
      <protection locked="0"/>
    </xf>
    <xf numFmtId="2" fontId="0" fillId="0" borderId="47" xfId="0" applyNumberFormat="1" applyBorder="1" applyAlignment="1" applyProtection="1">
      <alignment horizontal="right" wrapText="1"/>
      <protection locked="0"/>
    </xf>
    <xf numFmtId="0" fontId="40" fillId="0" borderId="47" xfId="3" applyFont="1" applyFill="1" applyBorder="1" applyAlignment="1" applyProtection="1">
      <alignment horizontal="center" vertical="center" wrapText="1"/>
    </xf>
    <xf numFmtId="0" fontId="7" fillId="0" borderId="4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7" xfId="0" applyFont="1" applyBorder="1" applyAlignment="1">
      <alignment horizontal="center" vertical="center" wrapText="1"/>
    </xf>
    <xf numFmtId="2" fontId="0" fillId="13" borderId="43" xfId="0" applyNumberFormat="1" applyFill="1" applyBorder="1" applyAlignment="1">
      <alignment horizontal="right" wrapText="1"/>
    </xf>
    <xf numFmtId="2" fontId="0" fillId="13" borderId="41" xfId="0" applyNumberFormat="1" applyFill="1" applyBorder="1" applyAlignment="1">
      <alignment horizontal="right" wrapText="1"/>
    </xf>
    <xf numFmtId="2" fontId="0" fillId="13" borderId="56" xfId="0" applyNumberFormat="1" applyFill="1" applyBorder="1" applyAlignment="1">
      <alignment horizontal="right" wrapText="1"/>
    </xf>
    <xf numFmtId="0" fontId="2" fillId="3" borderId="33"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2" fontId="1" fillId="13" borderId="61" xfId="2" applyFill="1" applyBorder="1" applyAlignment="1">
      <alignment horizontal="center" vertical="center"/>
    </xf>
    <xf numFmtId="2" fontId="1" fillId="13" borderId="63" xfId="2" applyFill="1" applyBorder="1" applyAlignment="1">
      <alignment horizontal="center" vertical="center"/>
    </xf>
    <xf numFmtId="2" fontId="0" fillId="13" borderId="33" xfId="2" applyFont="1" applyFill="1" applyBorder="1" applyAlignment="1">
      <alignment horizontal="center" vertical="center"/>
    </xf>
    <xf numFmtId="2" fontId="0" fillId="13" borderId="34" xfId="2" applyFont="1" applyFill="1" applyBorder="1" applyAlignment="1">
      <alignment horizontal="center" vertical="center"/>
    </xf>
    <xf numFmtId="2" fontId="0" fillId="13" borderId="35" xfId="2" applyFont="1" applyFill="1" applyBorder="1" applyAlignment="1">
      <alignment horizontal="center" vertical="center"/>
    </xf>
    <xf numFmtId="0" fontId="7" fillId="0" borderId="43"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56" xfId="0" applyFont="1" applyBorder="1" applyAlignment="1">
      <alignment horizontal="center" vertical="center" wrapText="1"/>
    </xf>
    <xf numFmtId="0" fontId="2" fillId="4" borderId="29" xfId="0" applyFont="1" applyFill="1" applyBorder="1" applyAlignment="1">
      <alignment horizontal="center"/>
    </xf>
    <xf numFmtId="0" fontId="2" fillId="4" borderId="31" xfId="0" applyFont="1" applyFill="1" applyBorder="1" applyAlignment="1">
      <alignment horizontal="center"/>
    </xf>
    <xf numFmtId="0" fontId="2" fillId="4" borderId="7" xfId="0" applyFont="1" applyFill="1" applyBorder="1" applyAlignment="1">
      <alignment horizontal="center"/>
    </xf>
    <xf numFmtId="0" fontId="2" fillId="4" borderId="8" xfId="0" applyFont="1" applyFill="1" applyBorder="1" applyAlignment="1">
      <alignment horizontal="center"/>
    </xf>
    <xf numFmtId="0" fontId="2" fillId="4" borderId="9" xfId="0" applyFont="1" applyFill="1" applyBorder="1" applyAlignment="1">
      <alignment horizontal="center"/>
    </xf>
    <xf numFmtId="0" fontId="40" fillId="0" borderId="10" xfId="3" applyFont="1" applyFill="1" applyBorder="1" applyAlignment="1">
      <alignment horizontal="center" vertical="center"/>
    </xf>
    <xf numFmtId="0" fontId="40" fillId="0" borderId="3" xfId="3" applyFont="1" applyFill="1" applyBorder="1" applyAlignment="1">
      <alignment horizontal="center" vertical="center"/>
    </xf>
    <xf numFmtId="0" fontId="40" fillId="0" borderId="21" xfId="3" applyFont="1" applyFill="1" applyBorder="1" applyAlignment="1">
      <alignment horizontal="center" vertical="center"/>
    </xf>
    <xf numFmtId="0" fontId="40" fillId="0" borderId="52" xfId="3" applyFont="1" applyFill="1" applyBorder="1" applyAlignment="1">
      <alignment horizontal="center" vertical="center" wrapText="1"/>
    </xf>
    <xf numFmtId="0" fontId="40" fillId="0" borderId="5" xfId="3" applyFont="1" applyFill="1" applyBorder="1" applyAlignment="1">
      <alignment horizontal="center" vertical="center" wrapText="1"/>
    </xf>
    <xf numFmtId="0" fontId="40" fillId="0" borderId="47" xfId="3" applyFont="1" applyFill="1" applyBorder="1" applyAlignment="1">
      <alignment horizontal="center" vertical="center" wrapText="1"/>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21" xfId="0" applyFont="1" applyBorder="1" applyAlignment="1">
      <alignment horizontal="left" vertical="center"/>
    </xf>
    <xf numFmtId="0" fontId="0" fillId="0" borderId="57" xfId="0" applyBorder="1" applyAlignment="1">
      <alignment horizontal="left" vertical="center" wrapText="1"/>
    </xf>
    <xf numFmtId="0" fontId="4" fillId="7" borderId="80" xfId="0" applyFont="1" applyFill="1" applyBorder="1" applyAlignment="1">
      <alignment horizontal="center"/>
    </xf>
    <xf numFmtId="0" fontId="4" fillId="7" borderId="84" xfId="0" applyFont="1" applyFill="1" applyBorder="1" applyAlignment="1">
      <alignment horizontal="center"/>
    </xf>
    <xf numFmtId="0" fontId="0" fillId="19" borderId="0" xfId="0" applyFill="1" applyAlignment="1">
      <alignment horizontal="left" vertical="center" wrapText="1" indent="2"/>
    </xf>
    <xf numFmtId="0" fontId="0" fillId="19" borderId="54" xfId="0" applyFill="1" applyBorder="1" applyAlignment="1">
      <alignment horizontal="left" vertical="center" wrapText="1" indent="2"/>
    </xf>
    <xf numFmtId="0" fontId="0" fillId="19" borderId="5" xfId="0" applyFill="1" applyBorder="1" applyAlignment="1">
      <alignment horizontal="left" vertical="center" wrapText="1" indent="2"/>
    </xf>
    <xf numFmtId="0" fontId="0" fillId="19" borderId="53" xfId="0" applyFill="1" applyBorder="1" applyAlignment="1">
      <alignment horizontal="left" vertical="center" wrapText="1" indent="2"/>
    </xf>
    <xf numFmtId="0" fontId="0" fillId="19" borderId="3" xfId="0" applyFill="1" applyBorder="1" applyAlignment="1">
      <alignment horizontal="left" vertical="center" wrapText="1" indent="2"/>
    </xf>
    <xf numFmtId="0" fontId="0" fillId="19" borderId="4" xfId="0" applyFill="1" applyBorder="1" applyAlignment="1">
      <alignment horizontal="left" vertical="center" wrapText="1" indent="2"/>
    </xf>
    <xf numFmtId="0" fontId="0" fillId="19" borderId="22" xfId="0" applyFill="1" applyBorder="1" applyAlignment="1">
      <alignment horizontal="left" vertical="center" wrapText="1" indent="2"/>
    </xf>
    <xf numFmtId="0" fontId="0" fillId="19" borderId="60" xfId="0" applyFill="1" applyBorder="1" applyAlignment="1">
      <alignment horizontal="left" vertical="center" wrapText="1" indent="2"/>
    </xf>
    <xf numFmtId="0" fontId="0" fillId="7" borderId="49" xfId="0" applyFill="1" applyBorder="1" applyAlignment="1">
      <alignment horizontal="left" vertical="center" wrapText="1"/>
    </xf>
    <xf numFmtId="0" fontId="0" fillId="7" borderId="41" xfId="0" applyFill="1" applyBorder="1" applyAlignment="1">
      <alignment horizontal="left" vertical="center" wrapText="1"/>
    </xf>
    <xf numFmtId="0" fontId="0" fillId="7" borderId="40" xfId="0" applyFill="1" applyBorder="1" applyAlignment="1">
      <alignment horizontal="left" vertical="center" wrapText="1"/>
    </xf>
    <xf numFmtId="0" fontId="0" fillId="7" borderId="12" xfId="0" applyFill="1" applyBorder="1" applyAlignment="1">
      <alignment horizontal="left" vertical="center" wrapText="1"/>
    </xf>
    <xf numFmtId="0" fontId="0" fillId="7" borderId="27" xfId="0" applyFill="1" applyBorder="1" applyAlignment="1">
      <alignment horizontal="left" vertical="center" wrapText="1"/>
    </xf>
    <xf numFmtId="0" fontId="0" fillId="7" borderId="13" xfId="0" applyFill="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4" fillId="19" borderId="18" xfId="0" applyFont="1" applyFill="1" applyBorder="1" applyAlignment="1">
      <alignment horizontal="left" vertical="center" wrapText="1"/>
    </xf>
    <xf numFmtId="0" fontId="4" fillId="19" borderId="1" xfId="0" applyFont="1" applyFill="1" applyBorder="1" applyAlignment="1">
      <alignment horizontal="left" vertical="center" wrapText="1"/>
    </xf>
    <xf numFmtId="0" fontId="2" fillId="7" borderId="0" xfId="0" applyFont="1" applyFill="1" applyAlignment="1">
      <alignment horizontal="center"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0" fillId="0" borderId="52" xfId="3" applyFont="1" applyFill="1" applyBorder="1" applyAlignment="1">
      <alignment horizontal="center" vertical="center"/>
    </xf>
    <xf numFmtId="0" fontId="40" fillId="0" borderId="5" xfId="3" applyFont="1" applyFill="1" applyBorder="1" applyAlignment="1">
      <alignment horizontal="center" vertical="center"/>
    </xf>
    <xf numFmtId="0" fontId="40" fillId="0" borderId="47" xfId="3" applyFont="1" applyFill="1" applyBorder="1" applyAlignment="1">
      <alignment horizontal="center" vertical="center"/>
    </xf>
    <xf numFmtId="0" fontId="0" fillId="19" borderId="72" xfId="0" applyFill="1" applyBorder="1" applyAlignment="1">
      <alignment horizontal="center" vertical="center" wrapText="1"/>
    </xf>
    <xf numFmtId="0" fontId="0" fillId="19" borderId="61" xfId="0" applyFill="1" applyBorder="1" applyAlignment="1">
      <alignment horizontal="center" vertical="center" wrapText="1"/>
    </xf>
    <xf numFmtId="0" fontId="0" fillId="19" borderId="79" xfId="0" applyFill="1" applyBorder="1" applyAlignment="1">
      <alignment horizontal="center" vertical="center" wrapText="1"/>
    </xf>
    <xf numFmtId="0" fontId="0" fillId="7" borderId="45" xfId="0" applyFill="1" applyBorder="1" applyAlignment="1">
      <alignment horizontal="left" vertical="center" wrapText="1"/>
    </xf>
    <xf numFmtId="0" fontId="0" fillId="7" borderId="22" xfId="0" applyFill="1" applyBorder="1" applyAlignment="1">
      <alignment horizontal="left" vertical="center" wrapText="1"/>
    </xf>
    <xf numFmtId="0" fontId="0" fillId="7" borderId="60" xfId="0" applyFill="1" applyBorder="1" applyAlignment="1">
      <alignment horizontal="left" vertical="center" wrapText="1"/>
    </xf>
    <xf numFmtId="0" fontId="40" fillId="0" borderId="0" xfId="3" applyFont="1" applyFill="1" applyBorder="1" applyAlignment="1">
      <alignment horizontal="center" vertical="center" wrapText="1"/>
    </xf>
    <xf numFmtId="0" fontId="40" fillId="0" borderId="41" xfId="3" applyFont="1" applyFill="1" applyBorder="1" applyAlignment="1">
      <alignment horizontal="center" vertical="center" wrapText="1"/>
    </xf>
    <xf numFmtId="0" fontId="40" fillId="0" borderId="51" xfId="3" applyFont="1" applyFill="1" applyBorder="1" applyAlignment="1">
      <alignment horizontal="center" vertical="center" wrapText="1"/>
    </xf>
    <xf numFmtId="0" fontId="40" fillId="0" borderId="85" xfId="3" applyFont="1" applyFill="1" applyBorder="1" applyAlignment="1">
      <alignment horizontal="center" vertical="center" wrapText="1"/>
    </xf>
    <xf numFmtId="0" fontId="40" fillId="0" borderId="44" xfId="3" applyFont="1" applyFill="1" applyBorder="1" applyAlignment="1">
      <alignment horizontal="center" vertical="center" wrapText="1"/>
    </xf>
    <xf numFmtId="0" fontId="2" fillId="7" borderId="19" xfId="0" applyFont="1" applyFill="1" applyBorder="1" applyAlignment="1">
      <alignment horizontal="left" vertical="center" wrapText="1"/>
    </xf>
    <xf numFmtId="0" fontId="2" fillId="7" borderId="20" xfId="0" applyFont="1" applyFill="1" applyBorder="1" applyAlignment="1">
      <alignment horizontal="left" vertical="center" wrapText="1"/>
    </xf>
    <xf numFmtId="0" fontId="18" fillId="0" borderId="71" xfId="0" applyFont="1" applyBorder="1" applyAlignment="1">
      <alignment horizontal="left" vertical="center" wrapText="1"/>
    </xf>
    <xf numFmtId="0" fontId="31" fillId="0" borderId="0" xfId="0" applyFont="1" applyAlignment="1">
      <alignment horizontal="left" wrapText="1"/>
    </xf>
    <xf numFmtId="0" fontId="0" fillId="7" borderId="0" xfId="0" applyFill="1" applyAlignment="1">
      <alignment horizontal="center"/>
    </xf>
    <xf numFmtId="0" fontId="2" fillId="0" borderId="79" xfId="0" applyFont="1" applyBorder="1" applyAlignment="1">
      <alignment horizontal="center"/>
    </xf>
    <xf numFmtId="0" fontId="2" fillId="0" borderId="35" xfId="0" applyFont="1" applyBorder="1" applyAlignment="1">
      <alignment horizontal="center"/>
    </xf>
    <xf numFmtId="166" fontId="2" fillId="13" borderId="79" xfId="2" quotePrefix="1" applyNumberFormat="1" applyFont="1" applyFill="1" applyBorder="1" applyAlignment="1">
      <alignment horizontal="center" vertical="center"/>
    </xf>
    <xf numFmtId="166" fontId="2" fillId="13" borderId="35" xfId="2" applyNumberFormat="1" applyFont="1" applyFill="1" applyBorder="1" applyAlignment="1">
      <alignment horizontal="center" vertical="center"/>
    </xf>
    <xf numFmtId="0" fontId="0" fillId="7" borderId="0" xfId="0" applyFill="1" applyAlignment="1">
      <alignment horizontal="left" vertical="top" wrapText="1"/>
    </xf>
    <xf numFmtId="0" fontId="6" fillId="7" borderId="49" xfId="3" quotePrefix="1" applyFill="1" applyBorder="1" applyAlignment="1" applyProtection="1">
      <alignment horizontal="left" wrapText="1"/>
    </xf>
    <xf numFmtId="0" fontId="6" fillId="7" borderId="41" xfId="3" quotePrefix="1" applyFill="1" applyBorder="1" applyAlignment="1" applyProtection="1">
      <alignment horizontal="left" wrapText="1"/>
    </xf>
    <xf numFmtId="0" fontId="6" fillId="7" borderId="56" xfId="3" quotePrefix="1" applyFill="1" applyBorder="1" applyAlignment="1" applyProtection="1">
      <alignment horizontal="left" wrapText="1"/>
    </xf>
    <xf numFmtId="0" fontId="6" fillId="7" borderId="25" xfId="3" quotePrefix="1" applyFill="1" applyBorder="1" applyAlignment="1" applyProtection="1">
      <alignment horizontal="left" vertical="top" wrapText="1"/>
    </xf>
    <xf numFmtId="0" fontId="6" fillId="7" borderId="0" xfId="3" quotePrefix="1" applyFill="1" applyBorder="1" applyAlignment="1" applyProtection="1">
      <alignment horizontal="left" vertical="top" wrapText="1"/>
    </xf>
    <xf numFmtId="0" fontId="6" fillId="7" borderId="26" xfId="3" quotePrefix="1" applyFill="1" applyBorder="1" applyAlignment="1" applyProtection="1">
      <alignment horizontal="left" vertical="top" wrapText="1"/>
    </xf>
    <xf numFmtId="0" fontId="0" fillId="7" borderId="25" xfId="0" quotePrefix="1" applyFill="1" applyBorder="1" applyAlignment="1">
      <alignment horizontal="left" vertical="top" wrapText="1"/>
    </xf>
    <xf numFmtId="0" fontId="0" fillId="7" borderId="0" xfId="0" quotePrefix="1" applyFill="1" applyAlignment="1">
      <alignment horizontal="left" vertical="top" wrapText="1"/>
    </xf>
    <xf numFmtId="0" fontId="0" fillId="7" borderId="26" xfId="0" quotePrefix="1" applyFill="1" applyBorder="1" applyAlignment="1">
      <alignment horizontal="left" vertical="top" wrapText="1"/>
    </xf>
    <xf numFmtId="0" fontId="6" fillId="7" borderId="49" xfId="3" quotePrefix="1" applyFill="1" applyBorder="1" applyAlignment="1" applyProtection="1">
      <alignment horizontal="left"/>
    </xf>
    <xf numFmtId="0" fontId="6" fillId="7" borderId="41" xfId="3" quotePrefix="1" applyFill="1" applyBorder="1" applyAlignment="1" applyProtection="1">
      <alignment horizontal="left"/>
    </xf>
    <xf numFmtId="0" fontId="6" fillId="7" borderId="56" xfId="3" quotePrefix="1" applyFill="1" applyBorder="1" applyAlignment="1" applyProtection="1">
      <alignment horizontal="left"/>
    </xf>
    <xf numFmtId="0" fontId="0" fillId="7" borderId="52" xfId="0" quotePrefix="1" applyFill="1" applyBorder="1" applyAlignment="1">
      <alignment horizontal="left"/>
    </xf>
    <xf numFmtId="0" fontId="0" fillId="7" borderId="5" xfId="0" quotePrefix="1" applyFill="1" applyBorder="1" applyAlignment="1">
      <alignment horizontal="left"/>
    </xf>
    <xf numFmtId="0" fontId="0" fillId="7" borderId="47" xfId="0" quotePrefix="1" applyFill="1" applyBorder="1" applyAlignment="1">
      <alignment horizontal="left"/>
    </xf>
    <xf numFmtId="0" fontId="6" fillId="7" borderId="25" xfId="3" quotePrefix="1" applyFill="1" applyBorder="1" applyAlignment="1" applyProtection="1">
      <alignment horizontal="left" wrapText="1"/>
    </xf>
    <xf numFmtId="0" fontId="6" fillId="7" borderId="0" xfId="3" quotePrefix="1" applyFill="1" applyBorder="1" applyAlignment="1" applyProtection="1">
      <alignment horizontal="left" wrapText="1"/>
    </xf>
    <xf numFmtId="0" fontId="6" fillId="7" borderId="26" xfId="3" quotePrefix="1" applyFill="1" applyBorder="1" applyAlignment="1" applyProtection="1">
      <alignment horizontal="left" wrapText="1"/>
    </xf>
    <xf numFmtId="0" fontId="9" fillId="7" borderId="52" xfId="3" quotePrefix="1" applyFont="1" applyFill="1" applyBorder="1" applyAlignment="1" applyProtection="1">
      <alignment horizontal="left"/>
    </xf>
    <xf numFmtId="0" fontId="9" fillId="7" borderId="5" xfId="3" quotePrefix="1" applyFont="1" applyFill="1" applyBorder="1" applyAlignment="1" applyProtection="1">
      <alignment horizontal="left"/>
    </xf>
    <xf numFmtId="0" fontId="9" fillId="7" borderId="47" xfId="3" quotePrefix="1" applyFont="1" applyFill="1" applyBorder="1" applyAlignment="1" applyProtection="1">
      <alignment horizontal="left"/>
    </xf>
    <xf numFmtId="2" fontId="2" fillId="0" borderId="25" xfId="0" applyNumberFormat="1" applyFont="1" applyBorder="1" applyAlignment="1">
      <alignment horizontal="left"/>
    </xf>
    <xf numFmtId="2" fontId="2" fillId="0" borderId="0" xfId="0" applyNumberFormat="1" applyFont="1" applyAlignment="1">
      <alignment horizontal="left"/>
    </xf>
    <xf numFmtId="2" fontId="2" fillId="0" borderId="26" xfId="0" applyNumberFormat="1" applyFont="1" applyBorder="1" applyAlignment="1">
      <alignment horizontal="left"/>
    </xf>
    <xf numFmtId="2" fontId="2" fillId="0" borderId="15" xfId="0" applyNumberFormat="1" applyFont="1" applyBorder="1" applyAlignment="1">
      <alignment horizontal="left" vertical="top"/>
    </xf>
    <xf numFmtId="2" fontId="2" fillId="0" borderId="16" xfId="0" applyNumberFormat="1" applyFont="1" applyBorder="1" applyAlignment="1">
      <alignment horizontal="left" vertical="top"/>
    </xf>
    <xf numFmtId="2" fontId="2" fillId="0" borderId="17" xfId="0" applyNumberFormat="1" applyFont="1" applyBorder="1" applyAlignment="1">
      <alignment horizontal="left" vertical="top"/>
    </xf>
    <xf numFmtId="2" fontId="0" fillId="7" borderId="25" xfId="0" quotePrefix="1" applyNumberFormat="1" applyFill="1" applyBorder="1" applyAlignment="1">
      <alignment horizontal="left" wrapText="1"/>
    </xf>
    <xf numFmtId="2" fontId="0" fillId="7" borderId="0" xfId="0" quotePrefix="1" applyNumberFormat="1" applyFill="1" applyAlignment="1">
      <alignment horizontal="left" wrapText="1"/>
    </xf>
    <xf numFmtId="2" fontId="0" fillId="7" borderId="26" xfId="0" quotePrefix="1" applyNumberFormat="1" applyFill="1" applyBorder="1" applyAlignment="1">
      <alignment horizontal="left" wrapText="1"/>
    </xf>
    <xf numFmtId="2" fontId="6" fillId="7" borderId="49" xfId="3" quotePrefix="1" applyNumberFormat="1" applyFill="1" applyBorder="1" applyAlignment="1" applyProtection="1">
      <alignment horizontal="left" wrapText="1"/>
    </xf>
    <xf numFmtId="2" fontId="6" fillId="7" borderId="41" xfId="3" quotePrefix="1" applyNumberFormat="1" applyFill="1" applyBorder="1" applyAlignment="1" applyProtection="1">
      <alignment horizontal="left" wrapText="1"/>
    </xf>
    <xf numFmtId="2" fontId="6" fillId="7" borderId="56" xfId="3" quotePrefix="1" applyNumberFormat="1" applyFill="1" applyBorder="1" applyAlignment="1" applyProtection="1">
      <alignment horizontal="left" wrapText="1"/>
    </xf>
    <xf numFmtId="0" fontId="0" fillId="7" borderId="0" xfId="0" quotePrefix="1" applyFill="1" applyAlignment="1">
      <alignment horizontal="left"/>
    </xf>
    <xf numFmtId="0" fontId="0" fillId="7" borderId="26" xfId="0" quotePrefix="1" applyFill="1" applyBorder="1" applyAlignment="1">
      <alignment horizontal="left"/>
    </xf>
    <xf numFmtId="0" fontId="0" fillId="7" borderId="52" xfId="0" quotePrefix="1" applyFill="1" applyBorder="1" applyAlignment="1">
      <alignment horizontal="left" wrapText="1"/>
    </xf>
    <xf numFmtId="0" fontId="0" fillId="7" borderId="5" xfId="0" quotePrefix="1" applyFill="1" applyBorder="1" applyAlignment="1">
      <alignment horizontal="left" wrapText="1"/>
    </xf>
    <xf numFmtId="0" fontId="0" fillId="7" borderId="47" xfId="0" quotePrefix="1" applyFill="1" applyBorder="1" applyAlignment="1">
      <alignment horizontal="left" wrapText="1"/>
    </xf>
    <xf numFmtId="0" fontId="0" fillId="7" borderId="41" xfId="0" quotePrefix="1" applyFill="1" applyBorder="1" applyAlignment="1">
      <alignment horizontal="left"/>
    </xf>
    <xf numFmtId="0" fontId="0" fillId="7" borderId="56" xfId="0" quotePrefix="1" applyFill="1" applyBorder="1" applyAlignment="1">
      <alignment horizontal="left"/>
    </xf>
    <xf numFmtId="0" fontId="0" fillId="7" borderId="25" xfId="0" quotePrefix="1" applyFill="1" applyBorder="1" applyAlignment="1">
      <alignment horizontal="left"/>
    </xf>
    <xf numFmtId="0" fontId="6" fillId="7" borderId="45" xfId="3" quotePrefix="1" applyFill="1" applyBorder="1" applyAlignment="1" applyProtection="1">
      <alignment horizontal="left"/>
    </xf>
    <xf numFmtId="0" fontId="0" fillId="7" borderId="22" xfId="0" quotePrefix="1" applyFill="1" applyBorder="1" applyAlignment="1">
      <alignment horizontal="left"/>
    </xf>
    <xf numFmtId="0" fontId="0" fillId="7" borderId="23" xfId="0" quotePrefix="1" applyFill="1" applyBorder="1" applyAlignment="1">
      <alignment horizontal="left"/>
    </xf>
    <xf numFmtId="0" fontId="2" fillId="18" borderId="33" xfId="0" applyFont="1" applyFill="1" applyBorder="1" applyAlignment="1">
      <alignment horizontal="center" vertical="center" wrapText="1"/>
    </xf>
    <xf numFmtId="0" fontId="2" fillId="18" borderId="34" xfId="0" applyFont="1" applyFill="1" applyBorder="1" applyAlignment="1">
      <alignment horizontal="center" vertical="center" wrapText="1"/>
    </xf>
    <xf numFmtId="0" fontId="2" fillId="18" borderId="35" xfId="0" applyFont="1" applyFill="1" applyBorder="1" applyAlignment="1">
      <alignment horizontal="center" vertical="center" wrapText="1"/>
    </xf>
    <xf numFmtId="0" fontId="2" fillId="7" borderId="76" xfId="0" applyFont="1" applyFill="1" applyBorder="1" applyAlignment="1">
      <alignment horizontal="center"/>
    </xf>
    <xf numFmtId="0" fontId="2" fillId="7" borderId="77" xfId="0" applyFont="1" applyFill="1" applyBorder="1" applyAlignment="1">
      <alignment horizontal="center"/>
    </xf>
    <xf numFmtId="0" fontId="2" fillId="7" borderId="78" xfId="0" applyFont="1" applyFill="1" applyBorder="1" applyAlignment="1">
      <alignment horizontal="center"/>
    </xf>
  </cellXfs>
  <cellStyles count="4">
    <cellStyle name="Auto-Calculated-Cells" xfId="2"/>
    <cellStyle name="Link" xfId="3" builtinId="8"/>
    <cellStyle name="Prozent" xfId="1" builtinId="5"/>
    <cellStyle name="Standard" xfId="0" builtinId="0"/>
  </cellStyles>
  <dxfs count="388">
    <dxf>
      <fill>
        <patternFill>
          <bgColor theme="2" tint="-0.24994659260841701"/>
        </patternFill>
      </fill>
    </dxf>
    <dxf>
      <fill>
        <patternFill>
          <bgColor theme="2" tint="-0.24994659260841701"/>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ont>
        <b/>
        <i val="0"/>
      </font>
      <fill>
        <patternFill>
          <bgColor rgb="FFFF0000"/>
        </patternFill>
      </fill>
    </dxf>
    <dxf>
      <font>
        <b/>
        <i val="0"/>
      </font>
      <fill>
        <patternFill>
          <bgColor rgb="FFFF0000"/>
        </patternFill>
      </fill>
    </dxf>
    <dxf>
      <fill>
        <patternFill>
          <bgColor theme="2" tint="-0.24994659260841701"/>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patternType="solid">
          <bgColor rgb="FFFFFF99"/>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patternType="solid">
          <bgColor rgb="FFFFFF99"/>
        </patternFill>
      </fill>
    </dxf>
    <dxf>
      <fill>
        <patternFill patternType="solid">
          <bgColor rgb="FFFFFF99"/>
        </patternFill>
      </fill>
    </dxf>
    <dxf>
      <fill>
        <patternFill patternType="solid">
          <bgColor rgb="FFFFFF99"/>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bgColor theme="2" tint="-9.9948118533890809E-2"/>
        </patternFill>
      </fill>
    </dxf>
    <dxf>
      <fill>
        <patternFill patternType="none">
          <bgColor auto="1"/>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numFmt numFmtId="164" formatCode=";;;"/>
      <fill>
        <patternFill>
          <bgColor theme="0"/>
        </patternFill>
      </fill>
    </dxf>
    <dxf>
      <fill>
        <patternFill>
          <bgColor rgb="FF00B050"/>
        </patternFill>
      </fill>
    </dxf>
    <dxf>
      <fill>
        <patternFill>
          <bgColor rgb="FFFF0000"/>
        </patternFill>
      </fill>
    </dxf>
    <dxf>
      <fill>
        <patternFill>
          <bgColor rgb="FFFF0000"/>
        </patternFill>
      </fill>
    </dxf>
    <dxf>
      <numFmt numFmtId="164" formatCode=";;;"/>
      <fill>
        <patternFill>
          <bgColor theme="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patternType="none">
          <bgColor auto="1"/>
        </patternFill>
      </fill>
    </dxf>
    <dxf>
      <fill>
        <patternFill>
          <bgColor theme="0" tint="-0.14996795556505021"/>
        </patternFill>
      </fill>
    </dxf>
    <dxf>
      <numFmt numFmtId="0" formatCode="General"/>
      <fill>
        <patternFill>
          <bgColor theme="0" tint="-0.14996795556505021"/>
        </patternFill>
      </fill>
    </dxf>
    <dxf>
      <fill>
        <patternFill>
          <bgColor theme="8" tint="0.79998168889431442"/>
        </patternFill>
      </fill>
    </dxf>
    <dxf>
      <fill>
        <patternFill>
          <bgColor theme="0" tint="-0.14996795556505021"/>
        </patternFill>
      </fill>
    </dxf>
    <dxf>
      <fill>
        <patternFill patternType="none">
          <bgColor auto="1"/>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numFmt numFmtId="0" formatCode="General"/>
      <fill>
        <patternFill>
          <bgColor theme="2" tint="-9.9948118533890809E-2"/>
        </patternFill>
      </fill>
    </dxf>
    <dxf>
      <fill>
        <patternFill patternType="none">
          <bgColor auto="1"/>
        </patternFill>
      </fill>
    </dxf>
    <dxf>
      <fill>
        <patternFill>
          <bgColor theme="0" tint="-0.14996795556505021"/>
        </patternFill>
      </fill>
    </dxf>
    <dxf>
      <numFmt numFmtId="0" formatCode="General"/>
      <fill>
        <patternFill>
          <bgColor theme="0" tint="-0.14996795556505021"/>
        </patternFill>
      </fill>
    </dxf>
    <dxf>
      <fill>
        <patternFill>
          <bgColor rgb="FFFFFF99"/>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bgColor rgb="FF00B050"/>
        </patternFill>
      </fill>
    </dxf>
    <dxf>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bgColor rgb="FF00B050"/>
        </patternFill>
      </fill>
    </dxf>
    <dxf>
      <fill>
        <patternFill>
          <bgColor rgb="FFFF0000"/>
        </patternFill>
      </fill>
    </dxf>
    <dxf>
      <fill>
        <patternFill>
          <bgColor rgb="FFFF0000"/>
        </patternFill>
      </fill>
    </dxf>
    <dxf>
      <fill>
        <patternFill>
          <bgColor rgb="FF00B050"/>
        </patternFill>
      </fill>
    </dxf>
    <dxf>
      <numFmt numFmtId="0" formatCode="General"/>
      <fill>
        <patternFill>
          <bgColor theme="0" tint="-0.14996795556505021"/>
        </patternFill>
      </fill>
    </dxf>
    <dxf>
      <numFmt numFmtId="0" formatCode="General"/>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ont>
        <b/>
        <i val="0"/>
      </font>
      <fill>
        <patternFill>
          <bgColor rgb="FFFF0000"/>
        </patternFill>
      </fill>
    </dxf>
    <dxf>
      <font>
        <b/>
        <i val="0"/>
      </font>
      <fill>
        <patternFill>
          <bgColor rgb="FFFF0000"/>
        </patternFill>
      </fill>
    </dxf>
    <dxf>
      <fill>
        <patternFill>
          <bgColor theme="0" tint="-0.14996795556505021"/>
        </patternFill>
      </fill>
    </dxf>
    <dxf>
      <fill>
        <patternFill patternType="none">
          <bgColor auto="1"/>
        </patternFill>
      </fill>
    </dxf>
    <dxf>
      <numFmt numFmtId="0" formatCode="General"/>
      <fill>
        <patternFill>
          <bgColor theme="0" tint="-0.14996795556505021"/>
        </patternFill>
      </fill>
    </dxf>
    <dxf>
      <fill>
        <patternFill>
          <bgColor rgb="FFFFFF99"/>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numFmt numFmtId="0" formatCode="General"/>
      <fill>
        <patternFill>
          <bgColor theme="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numFmt numFmtId="0" formatCode="General"/>
      <fill>
        <patternFill>
          <bgColor theme="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patternType="none">
          <bgColor auto="1"/>
        </patternFill>
      </fill>
    </dxf>
    <dxf>
      <fill>
        <patternFill patternType="none">
          <bgColor auto="1"/>
        </patternFill>
      </fill>
    </dxf>
    <dxf>
      <fill>
        <patternFill patternType="none">
          <bgColor auto="1"/>
        </patternFill>
      </fill>
    </dxf>
    <dxf>
      <fill>
        <patternFill>
          <bgColor rgb="FF00B050"/>
        </patternFill>
      </fill>
    </dxf>
    <dxf>
      <fill>
        <patternFill patternType="none">
          <bgColor auto="1"/>
        </patternFill>
      </fill>
    </dxf>
    <dxf>
      <fill>
        <patternFill>
          <bgColor theme="0"/>
        </patternFill>
      </fill>
    </dxf>
    <dxf>
      <fill>
        <patternFill>
          <bgColor rgb="FFFF0000"/>
        </patternFill>
      </fill>
    </dxf>
    <dxf>
      <fill>
        <patternFill patternType="none">
          <bgColor auto="1"/>
        </patternFill>
      </fill>
    </dxf>
    <dxf>
      <fill>
        <patternFill patternType="none">
          <bgColor auto="1"/>
        </patternFill>
      </fill>
    </dxf>
    <dxf>
      <fill>
        <patternFill>
          <bgColor rgb="FFFF0000"/>
        </patternFill>
      </fill>
    </dxf>
    <dxf>
      <fill>
        <patternFill patternType="none">
          <bgColor auto="1"/>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patternType="none">
          <bgColor auto="1"/>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FFFF99"/>
      <color rgb="FFB5E6A2"/>
      <color rgb="FFE97132"/>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26"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5"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styles" Target="styles.xml"/><Relationship Id="rId23" Type="http://schemas.microsoft.com/office/2022/10/relationships/richValueRel" Target="richData/richValueRel.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hyperlink" Target="#Licence!A1"/><Relationship Id="rId4" Type="http://schemas.openxmlformats.org/officeDocument/2006/relationships/hyperlink" Target="https://www.efrag.org/sites/default/files/sites/webpublishing/SiteAssets/VSME%20Standard.pdf"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Environmental Disclosures'!A1"/><Relationship Id="rId7" Type="http://schemas.openxmlformats.org/officeDocument/2006/relationships/hyperlink" Target="#'Table of Contents &amp; Validation'!A1"/><Relationship Id="rId2" Type="http://schemas.openxmlformats.org/officeDocument/2006/relationships/hyperlink" Target="https://osmfoundation.org/wiki/Privacy_Policy#Personal_data_we_receive_automatically" TargetMode="External"/><Relationship Id="rId1" Type="http://schemas.openxmlformats.org/officeDocument/2006/relationships/hyperlink" Target="https://operations.osmfoundation.org/policies/nominatim/" TargetMode="External"/><Relationship Id="rId6" Type="http://schemas.openxmlformats.org/officeDocument/2006/relationships/hyperlink" Target="#Introduction!A1"/><Relationship Id="rId5" Type="http://schemas.openxmlformats.org/officeDocument/2006/relationships/hyperlink" Target="#'Governance Disclosures'!A1"/><Relationship Id="rId4" Type="http://schemas.openxmlformats.org/officeDocument/2006/relationships/hyperlink" Target="#'Social Disclosures'!A1"/></Relationships>
</file>

<file path=xl/drawings/_rels/drawing3.xml.rels><?xml version="1.0" encoding="UTF-8" standalone="yes"?>
<Relationships xmlns="http://schemas.openxmlformats.org/package/2006/relationships"><Relationship Id="rId3" Type="http://schemas.openxmlformats.org/officeDocument/2006/relationships/hyperlink" Target="#Introduction!A1"/><Relationship Id="rId2" Type="http://schemas.openxmlformats.org/officeDocument/2006/relationships/hyperlink" Target="#'Governance Disclosures'!A1"/><Relationship Id="rId1" Type="http://schemas.openxmlformats.org/officeDocument/2006/relationships/hyperlink" Target="#'Social Disclosures'!A1"/><Relationship Id="rId5" Type="http://schemas.openxmlformats.org/officeDocument/2006/relationships/hyperlink" Target="#'General Information'!A1"/><Relationship Id="rId4" Type="http://schemas.openxmlformats.org/officeDocument/2006/relationships/hyperlink" Target="#'Table of Contents &amp; Validation'!A1"/></Relationships>
</file>

<file path=xl/drawings/_rels/drawing4.xml.rels><?xml version="1.0" encoding="UTF-8" standalone="yes"?>
<Relationships xmlns="http://schemas.openxmlformats.org/package/2006/relationships"><Relationship Id="rId3" Type="http://schemas.openxmlformats.org/officeDocument/2006/relationships/hyperlink" Target="#'Table of Contents &amp; Validation'!A1"/><Relationship Id="rId2" Type="http://schemas.openxmlformats.org/officeDocument/2006/relationships/hyperlink" Target="#Introduction!A1"/><Relationship Id="rId1" Type="http://schemas.openxmlformats.org/officeDocument/2006/relationships/hyperlink" Target="#'Governance Disclosures'!A1"/><Relationship Id="rId5" Type="http://schemas.openxmlformats.org/officeDocument/2006/relationships/hyperlink" Target="#'Environmental Disclosures'!A1"/><Relationship Id="rId4" Type="http://schemas.openxmlformats.org/officeDocument/2006/relationships/hyperlink" Target="#'General Information'!A1"/></Relationships>
</file>

<file path=xl/drawings/_rels/drawing5.xml.rels><?xml version="1.0" encoding="UTF-8" standalone="yes"?>
<Relationships xmlns="http://schemas.openxmlformats.org/package/2006/relationships"><Relationship Id="rId3" Type="http://schemas.openxmlformats.org/officeDocument/2006/relationships/hyperlink" Target="#'General Information'!A1"/><Relationship Id="rId2" Type="http://schemas.openxmlformats.org/officeDocument/2006/relationships/hyperlink" Target="#'Table of Contents &amp; Validation'!A1"/><Relationship Id="rId1" Type="http://schemas.openxmlformats.org/officeDocument/2006/relationships/hyperlink" Target="#Introduction!A1"/><Relationship Id="rId5" Type="http://schemas.openxmlformats.org/officeDocument/2006/relationships/hyperlink" Target="#'Social Disclosures'!A1"/><Relationship Id="rId4" Type="http://schemas.openxmlformats.org/officeDocument/2006/relationships/hyperlink" Target="#'Environmental Disclosures'!A1"/></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101601</xdr:rowOff>
    </xdr:from>
    <xdr:to>
      <xdr:col>2</xdr:col>
      <xdr:colOff>896135</xdr:colOff>
      <xdr:row>7</xdr:row>
      <xdr:rowOff>117475</xdr:rowOff>
    </xdr:to>
    <xdr:pic>
      <xdr:nvPicPr>
        <xdr:cNvPr id="3" name="Picture 1">
          <a:extLst>
            <a:ext uri="{FF2B5EF4-FFF2-40B4-BE49-F238E27FC236}">
              <a16:creationId xmlns:a16="http://schemas.microsoft.com/office/drawing/2014/main" id="{EE744A18-9278-F28C-CE93-223066AEF5D9}"/>
            </a:ext>
          </a:extLst>
        </xdr:cNvPr>
        <xdr:cNvPicPr>
          <a:picLocks noChangeAspect="1"/>
        </xdr:cNvPicPr>
      </xdr:nvPicPr>
      <xdr:blipFill>
        <a:blip xmlns:r="http://schemas.openxmlformats.org/officeDocument/2006/relationships" r:embed="rId1"/>
        <a:stretch>
          <a:fillRect/>
        </a:stretch>
      </xdr:blipFill>
      <xdr:spPr>
        <a:xfrm>
          <a:off x="406400" y="457201"/>
          <a:ext cx="4716295" cy="904874"/>
        </a:xfrm>
        <a:prstGeom prst="rect">
          <a:avLst/>
        </a:prstGeom>
      </xdr:spPr>
    </xdr:pic>
    <xdr:clientData/>
  </xdr:twoCellAnchor>
  <xdr:twoCellAnchor editAs="oneCell">
    <xdr:from>
      <xdr:col>1</xdr:col>
      <xdr:colOff>6551</xdr:colOff>
      <xdr:row>36</xdr:row>
      <xdr:rowOff>158162</xdr:rowOff>
    </xdr:from>
    <xdr:to>
      <xdr:col>1</xdr:col>
      <xdr:colOff>627581</xdr:colOff>
      <xdr:row>38</xdr:row>
      <xdr:rowOff>189813</xdr:rowOff>
    </xdr:to>
    <xdr:pic>
      <xdr:nvPicPr>
        <xdr:cNvPr id="13" name="Picture 1" descr="A flag with stars in the center&#10;&#10;Description automatically generated">
          <a:extLst>
            <a:ext uri="{FF2B5EF4-FFF2-40B4-BE49-F238E27FC236}">
              <a16:creationId xmlns:a16="http://schemas.microsoft.com/office/drawing/2014/main" id="{B2281DFB-0536-4402-89EF-0BEDD49B199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8372" y="19575555"/>
          <a:ext cx="628650" cy="391696"/>
        </a:xfrm>
        <a:prstGeom prst="rect">
          <a:avLst/>
        </a:prstGeom>
      </xdr:spPr>
    </xdr:pic>
    <xdr:clientData/>
  </xdr:twoCellAnchor>
  <xdr:twoCellAnchor editAs="oneCell">
    <xdr:from>
      <xdr:col>1</xdr:col>
      <xdr:colOff>1809750</xdr:colOff>
      <xdr:row>32</xdr:row>
      <xdr:rowOff>47625</xdr:rowOff>
    </xdr:from>
    <xdr:to>
      <xdr:col>1</xdr:col>
      <xdr:colOff>2421976</xdr:colOff>
      <xdr:row>32</xdr:row>
      <xdr:rowOff>515049</xdr:rowOff>
    </xdr:to>
    <xdr:pic>
      <xdr:nvPicPr>
        <xdr:cNvPr id="7" name="Picture 1">
          <a:extLst>
            <a:ext uri="{FF2B5EF4-FFF2-40B4-BE49-F238E27FC236}">
              <a16:creationId xmlns:a16="http://schemas.microsoft.com/office/drawing/2014/main" id="{FAC21AA4-78C9-7CCC-3AF3-0C14CAFC6FC9}"/>
            </a:ext>
          </a:extLst>
        </xdr:cNvPr>
        <xdr:cNvPicPr>
          <a:picLocks noChangeAspect="1"/>
        </xdr:cNvPicPr>
      </xdr:nvPicPr>
      <xdr:blipFill>
        <a:blip xmlns:r="http://schemas.openxmlformats.org/officeDocument/2006/relationships" r:embed="rId3"/>
        <a:stretch>
          <a:fillRect/>
        </a:stretch>
      </xdr:blipFill>
      <xdr:spPr>
        <a:xfrm>
          <a:off x="2206625" y="11223625"/>
          <a:ext cx="619211" cy="457264"/>
        </a:xfrm>
        <a:prstGeom prst="rect">
          <a:avLst/>
        </a:prstGeom>
      </xdr:spPr>
    </xdr:pic>
    <xdr:clientData/>
  </xdr:twoCellAnchor>
  <xdr:twoCellAnchor>
    <xdr:from>
      <xdr:col>4</xdr:col>
      <xdr:colOff>1619250</xdr:colOff>
      <xdr:row>10</xdr:row>
      <xdr:rowOff>111125</xdr:rowOff>
    </xdr:from>
    <xdr:to>
      <xdr:col>5</xdr:col>
      <xdr:colOff>952500</xdr:colOff>
      <xdr:row>10</xdr:row>
      <xdr:rowOff>396875</xdr:rowOff>
    </xdr:to>
    <xdr:sp macro="" textlink="">
      <xdr:nvSpPr>
        <xdr:cNvPr id="4" name="Rectangle 3">
          <a:hlinkClick xmlns:r="http://schemas.openxmlformats.org/officeDocument/2006/relationships" r:id="rId4"/>
          <a:extLst>
            <a:ext uri="{FF2B5EF4-FFF2-40B4-BE49-F238E27FC236}">
              <a16:creationId xmlns:a16="http://schemas.microsoft.com/office/drawing/2014/main" id="{D363C8B0-1A23-844C-E436-469E998EC547}"/>
            </a:ext>
          </a:extLst>
        </xdr:cNvPr>
        <xdr:cNvSpPr/>
      </xdr:nvSpPr>
      <xdr:spPr>
        <a:xfrm>
          <a:off x="14462125" y="2476500"/>
          <a:ext cx="1635125" cy="2857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5</xdr:col>
      <xdr:colOff>2841625</xdr:colOff>
      <xdr:row>10</xdr:row>
      <xdr:rowOff>3984625</xdr:rowOff>
    </xdr:from>
    <xdr:to>
      <xdr:col>6</xdr:col>
      <xdr:colOff>1238250</xdr:colOff>
      <xdr:row>10</xdr:row>
      <xdr:rowOff>4270375</xdr:rowOff>
    </xdr:to>
    <xdr:sp macro="" textlink="">
      <xdr:nvSpPr>
        <xdr:cNvPr id="5" name="Rectangle 4">
          <a:hlinkClick xmlns:r="http://schemas.openxmlformats.org/officeDocument/2006/relationships" r:id="rId5"/>
          <a:extLst>
            <a:ext uri="{FF2B5EF4-FFF2-40B4-BE49-F238E27FC236}">
              <a16:creationId xmlns:a16="http://schemas.microsoft.com/office/drawing/2014/main" id="{5A054C28-8550-3AA9-5D05-8D1B733171A0}"/>
            </a:ext>
          </a:extLst>
        </xdr:cNvPr>
        <xdr:cNvSpPr/>
      </xdr:nvSpPr>
      <xdr:spPr>
        <a:xfrm>
          <a:off x="17986375" y="6350000"/>
          <a:ext cx="1301750" cy="2857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3</xdr:col>
      <xdr:colOff>3951514</xdr:colOff>
      <xdr:row>10</xdr:row>
      <xdr:rowOff>87086</xdr:rowOff>
    </xdr:from>
    <xdr:to>
      <xdr:col>4</xdr:col>
      <xdr:colOff>489857</xdr:colOff>
      <xdr:row>10</xdr:row>
      <xdr:rowOff>293914</xdr:rowOff>
    </xdr:to>
    <xdr:sp macro="" textlink="">
      <xdr:nvSpPr>
        <xdr:cNvPr id="2" name="Rectangle 1">
          <a:hlinkClick xmlns:r="http://schemas.openxmlformats.org/officeDocument/2006/relationships" r:id="rId4"/>
          <a:extLst>
            <a:ext uri="{FF2B5EF4-FFF2-40B4-BE49-F238E27FC236}">
              <a16:creationId xmlns:a16="http://schemas.microsoft.com/office/drawing/2014/main" id="{16B5C088-64AA-B68A-75C3-AC7A29FD2933}"/>
            </a:ext>
          </a:extLst>
        </xdr:cNvPr>
        <xdr:cNvSpPr/>
      </xdr:nvSpPr>
      <xdr:spPr>
        <a:xfrm>
          <a:off x="12061371" y="2558143"/>
          <a:ext cx="1295400" cy="2068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1</xdr:col>
      <xdr:colOff>3167743</xdr:colOff>
      <xdr:row>10</xdr:row>
      <xdr:rowOff>3853543</xdr:rowOff>
    </xdr:from>
    <xdr:to>
      <xdr:col>2</xdr:col>
      <xdr:colOff>359229</xdr:colOff>
      <xdr:row>11</xdr:row>
      <xdr:rowOff>0</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5DA8BDE8-DFBE-01BD-5268-5269918EC771}"/>
            </a:ext>
          </a:extLst>
        </xdr:cNvPr>
        <xdr:cNvSpPr/>
      </xdr:nvSpPr>
      <xdr:spPr>
        <a:xfrm>
          <a:off x="3581400" y="6324600"/>
          <a:ext cx="1034143" cy="2721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19050</xdr:colOff>
      <xdr:row>105</xdr:row>
      <xdr:rowOff>1025237</xdr:rowOff>
    </xdr:from>
    <xdr:to>
      <xdr:col>7</xdr:col>
      <xdr:colOff>2628900</xdr:colOff>
      <xdr:row>105</xdr:row>
      <xdr:rowOff>1215737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AA8989A-7C57-462C-8649-46BDC612C39A}"/>
            </a:ext>
          </a:extLst>
        </xdr:cNvPr>
        <xdr:cNvSpPr/>
      </xdr:nvSpPr>
      <xdr:spPr>
        <a:xfrm>
          <a:off x="11336482" y="15806305"/>
          <a:ext cx="2609850"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7</xdr:col>
      <xdr:colOff>50742</xdr:colOff>
      <xdr:row>105</xdr:row>
      <xdr:rowOff>1393075</xdr:rowOff>
    </xdr:from>
    <xdr:to>
      <xdr:col>7</xdr:col>
      <xdr:colOff>857250</xdr:colOff>
      <xdr:row>105</xdr:row>
      <xdr:rowOff>1567296</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381497CC-CEB7-47E2-AF4C-81EAAA116533}"/>
            </a:ext>
          </a:extLst>
        </xdr:cNvPr>
        <xdr:cNvSpPr/>
      </xdr:nvSpPr>
      <xdr:spPr>
        <a:xfrm>
          <a:off x="11368174" y="16174143"/>
          <a:ext cx="806508" cy="1742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BE" sz="1100"/>
        </a:p>
      </xdr:txBody>
    </xdr:sp>
    <xdr:clientData/>
  </xdr:twoCellAnchor>
  <xdr:twoCellAnchor>
    <xdr:from>
      <xdr:col>7</xdr:col>
      <xdr:colOff>3460750</xdr:colOff>
      <xdr:row>165</xdr:row>
      <xdr:rowOff>12699</xdr:rowOff>
    </xdr:from>
    <xdr:to>
      <xdr:col>7</xdr:col>
      <xdr:colOff>6200323</xdr:colOff>
      <xdr:row>172</xdr:row>
      <xdr:rowOff>139245</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391A546A-0CCE-7CB4-8907-583657050E25}"/>
            </a:ext>
          </a:extLst>
        </xdr:cNvPr>
        <xdr:cNvSpPr/>
      </xdr:nvSpPr>
      <xdr:spPr>
        <a:xfrm>
          <a:off x="17100550" y="62534799"/>
          <a:ext cx="2739573" cy="1393371"/>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Environmental Disclosures</a:t>
          </a:r>
        </a:p>
      </xdr:txBody>
    </xdr:sp>
    <xdr:clientData/>
  </xdr:twoCellAnchor>
  <xdr:twoCellAnchor>
    <xdr:from>
      <xdr:col>7</xdr:col>
      <xdr:colOff>3452585</xdr:colOff>
      <xdr:row>174</xdr:row>
      <xdr:rowOff>35831</xdr:rowOff>
    </xdr:from>
    <xdr:to>
      <xdr:col>7</xdr:col>
      <xdr:colOff>6192158</xdr:colOff>
      <xdr:row>181</xdr:row>
      <xdr:rowOff>162378</xdr:rowOff>
    </xdr:to>
    <xdr:sp macro="" textlink="">
      <xdr:nvSpPr>
        <xdr:cNvPr id="5" name="Arrow: Right 4">
          <a:hlinkClick xmlns:r="http://schemas.openxmlformats.org/officeDocument/2006/relationships" r:id="rId4"/>
          <a:extLst>
            <a:ext uri="{FF2B5EF4-FFF2-40B4-BE49-F238E27FC236}">
              <a16:creationId xmlns:a16="http://schemas.microsoft.com/office/drawing/2014/main" id="{034DCD15-5CD6-4EE4-BE72-3F1FBACC1057}"/>
            </a:ext>
          </a:extLst>
        </xdr:cNvPr>
        <xdr:cNvSpPr/>
      </xdr:nvSpPr>
      <xdr:spPr>
        <a:xfrm>
          <a:off x="17092385" y="64186706"/>
          <a:ext cx="2739573" cy="1393372"/>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Social Disclosures</a:t>
          </a:r>
          <a:endParaRPr lang="en-BE" sz="1800" b="1">
            <a:solidFill>
              <a:schemeClr val="tx1"/>
            </a:solidFill>
            <a:effectLst/>
          </a:endParaRPr>
        </a:p>
        <a:p>
          <a:pPr algn="ctr"/>
          <a:endParaRPr lang="en-BE" sz="1800" b="1">
            <a:solidFill>
              <a:schemeClr val="tx1"/>
            </a:solidFill>
          </a:endParaRPr>
        </a:p>
      </xdr:txBody>
    </xdr:sp>
    <xdr:clientData/>
  </xdr:twoCellAnchor>
  <xdr:twoCellAnchor>
    <xdr:from>
      <xdr:col>7</xdr:col>
      <xdr:colOff>3474357</xdr:colOff>
      <xdr:row>182</xdr:row>
      <xdr:rowOff>178707</xdr:rowOff>
    </xdr:from>
    <xdr:to>
      <xdr:col>7</xdr:col>
      <xdr:colOff>6213930</xdr:colOff>
      <xdr:row>190</xdr:row>
      <xdr:rowOff>128361</xdr:rowOff>
    </xdr:to>
    <xdr:sp macro="" textlink="">
      <xdr:nvSpPr>
        <xdr:cNvPr id="6" name="Arrow: Right 5">
          <a:hlinkClick xmlns:r="http://schemas.openxmlformats.org/officeDocument/2006/relationships" r:id="rId5"/>
          <a:extLst>
            <a:ext uri="{FF2B5EF4-FFF2-40B4-BE49-F238E27FC236}">
              <a16:creationId xmlns:a16="http://schemas.microsoft.com/office/drawing/2014/main" id="{2305ED6B-777E-4789-82E7-887232BD41A1}"/>
            </a:ext>
          </a:extLst>
        </xdr:cNvPr>
        <xdr:cNvSpPr/>
      </xdr:nvSpPr>
      <xdr:spPr>
        <a:xfrm>
          <a:off x="17114157" y="65777382"/>
          <a:ext cx="2739573" cy="1397454"/>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Governance Disclosures</a:t>
          </a:r>
          <a:endParaRPr lang="en-BE" sz="1800" b="1">
            <a:solidFill>
              <a:schemeClr val="tx1"/>
            </a:solidFill>
            <a:effectLst/>
          </a:endParaRPr>
        </a:p>
      </xdr:txBody>
    </xdr:sp>
    <xdr:clientData/>
  </xdr:twoCellAnchor>
  <xdr:twoCellAnchor>
    <xdr:from>
      <xdr:col>3</xdr:col>
      <xdr:colOff>2032001</xdr:colOff>
      <xdr:row>166</xdr:row>
      <xdr:rowOff>154214</xdr:rowOff>
    </xdr:from>
    <xdr:to>
      <xdr:col>4</xdr:col>
      <xdr:colOff>1841500</xdr:colOff>
      <xdr:row>170</xdr:row>
      <xdr:rowOff>110672</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3834BDA7-E7E1-2618-0D54-1DCE21F3D5EA}"/>
            </a:ext>
          </a:extLst>
        </xdr:cNvPr>
        <xdr:cNvSpPr/>
      </xdr:nvSpPr>
      <xdr:spPr>
        <a:xfrm>
          <a:off x="7340601" y="62790614"/>
          <a:ext cx="2755899" cy="667658"/>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Introduction</a:t>
          </a:r>
        </a:p>
      </xdr:txBody>
    </xdr:sp>
    <xdr:clientData/>
  </xdr:twoCellAnchor>
  <xdr:twoCellAnchor>
    <xdr:from>
      <xdr:col>3</xdr:col>
      <xdr:colOff>2053772</xdr:colOff>
      <xdr:row>175</xdr:row>
      <xdr:rowOff>121557</xdr:rowOff>
    </xdr:from>
    <xdr:to>
      <xdr:col>4</xdr:col>
      <xdr:colOff>1863271</xdr:colOff>
      <xdr:row>179</xdr:row>
      <xdr:rowOff>78014</xdr:rowOff>
    </xdr:to>
    <xdr:sp macro="" textlink="">
      <xdr:nvSpPr>
        <xdr:cNvPr id="8" name="Rectangle 7">
          <a:hlinkClick xmlns:r="http://schemas.openxmlformats.org/officeDocument/2006/relationships" r:id="rId7"/>
          <a:extLst>
            <a:ext uri="{FF2B5EF4-FFF2-40B4-BE49-F238E27FC236}">
              <a16:creationId xmlns:a16="http://schemas.microsoft.com/office/drawing/2014/main" id="{8F5A7024-A53D-40B1-8355-2C3729A09FA5}"/>
            </a:ext>
          </a:extLst>
        </xdr:cNvPr>
        <xdr:cNvSpPr/>
      </xdr:nvSpPr>
      <xdr:spPr>
        <a:xfrm>
          <a:off x="7362372" y="64358157"/>
          <a:ext cx="2755899" cy="667657"/>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BE" sz="1800" b="1">
              <a:solidFill>
                <a:schemeClr val="tx1"/>
              </a:solidFill>
            </a:rPr>
            <a:t>Go to Table of Contents &amp;</a:t>
          </a:r>
          <a:r>
            <a:rPr lang="en-BE" sz="1800" b="1" baseline="0">
              <a:solidFill>
                <a:schemeClr val="tx1"/>
              </a:solidFill>
            </a:rPr>
            <a:t> Validation</a:t>
          </a:r>
        </a:p>
        <a:p>
          <a:pPr algn="l"/>
          <a:endParaRPr lang="en-BE" sz="1800" b="1">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338818</xdr:colOff>
      <xdr:row>245</xdr:row>
      <xdr:rowOff>149679</xdr:rowOff>
    </xdr:from>
    <xdr:to>
      <xdr:col>11</xdr:col>
      <xdr:colOff>1802947</xdr:colOff>
      <xdr:row>253</xdr:row>
      <xdr:rowOff>127908</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3F3D2D47-AF98-4169-A524-BAB1DEACE9CB}"/>
            </a:ext>
          </a:extLst>
        </xdr:cNvPr>
        <xdr:cNvSpPr/>
      </xdr:nvSpPr>
      <xdr:spPr>
        <a:xfrm>
          <a:off x="15807418" y="60685136"/>
          <a:ext cx="2737758" cy="1458686"/>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Social Disclosures</a:t>
          </a:r>
          <a:endParaRPr lang="en-BE" sz="1800" b="1">
            <a:solidFill>
              <a:schemeClr val="tx1"/>
            </a:solidFill>
            <a:effectLst/>
          </a:endParaRPr>
        </a:p>
      </xdr:txBody>
    </xdr:sp>
    <xdr:clientData/>
  </xdr:twoCellAnchor>
  <xdr:twoCellAnchor>
    <xdr:from>
      <xdr:col>10</xdr:col>
      <xdr:colOff>393247</xdr:colOff>
      <xdr:row>254</xdr:row>
      <xdr:rowOff>164647</xdr:rowOff>
    </xdr:from>
    <xdr:to>
      <xdr:col>11</xdr:col>
      <xdr:colOff>1857376</xdr:colOff>
      <xdr:row>262</xdr:row>
      <xdr:rowOff>138793</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55FD9AF0-1E71-4787-98B3-63EBD7D1A459}"/>
            </a:ext>
          </a:extLst>
        </xdr:cNvPr>
        <xdr:cNvSpPr/>
      </xdr:nvSpPr>
      <xdr:spPr>
        <a:xfrm>
          <a:off x="15861847" y="62365618"/>
          <a:ext cx="2737758" cy="1454604"/>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Governance Disclosures</a:t>
          </a:r>
          <a:endParaRPr lang="en-BE" sz="1800" b="1">
            <a:solidFill>
              <a:schemeClr val="tx1"/>
            </a:solidFill>
            <a:effectLst/>
          </a:endParaRPr>
        </a:p>
      </xdr:txBody>
    </xdr:sp>
    <xdr:clientData/>
  </xdr:twoCellAnchor>
  <xdr:twoCellAnchor>
    <xdr:from>
      <xdr:col>4</xdr:col>
      <xdr:colOff>880382</xdr:colOff>
      <xdr:row>247</xdr:row>
      <xdr:rowOff>119743</xdr:rowOff>
    </xdr:from>
    <xdr:to>
      <xdr:col>6</xdr:col>
      <xdr:colOff>732064</xdr:colOff>
      <xdr:row>251</xdr:row>
      <xdr:rowOff>88447</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E1B8D3EB-C8A5-427E-B5B4-003A8002592F}"/>
            </a:ext>
          </a:extLst>
        </xdr:cNvPr>
        <xdr:cNvSpPr/>
      </xdr:nvSpPr>
      <xdr:spPr>
        <a:xfrm>
          <a:off x="8772525" y="61025314"/>
          <a:ext cx="2758168" cy="708933"/>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Introduction</a:t>
          </a:r>
        </a:p>
      </xdr:txBody>
    </xdr:sp>
    <xdr:clientData/>
  </xdr:twoCellAnchor>
  <xdr:twoCellAnchor>
    <xdr:from>
      <xdr:col>4</xdr:col>
      <xdr:colOff>869496</xdr:colOff>
      <xdr:row>256</xdr:row>
      <xdr:rowOff>69397</xdr:rowOff>
    </xdr:from>
    <xdr:to>
      <xdr:col>6</xdr:col>
      <xdr:colOff>721178</xdr:colOff>
      <xdr:row>260</xdr:row>
      <xdr:rowOff>38101</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B6C7FA17-3A95-4322-89A6-BE9C7E7EDC7C}"/>
            </a:ext>
          </a:extLst>
        </xdr:cNvPr>
        <xdr:cNvSpPr/>
      </xdr:nvSpPr>
      <xdr:spPr>
        <a:xfrm>
          <a:off x="8761639" y="62640483"/>
          <a:ext cx="2758168" cy="708932"/>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BE" sz="1800" b="1">
              <a:solidFill>
                <a:schemeClr val="tx1"/>
              </a:solidFill>
            </a:rPr>
            <a:t>Go to Table of Contents &amp;</a:t>
          </a:r>
          <a:r>
            <a:rPr lang="en-BE" sz="1800" b="1" baseline="0">
              <a:solidFill>
                <a:schemeClr val="tx1"/>
              </a:solidFill>
            </a:rPr>
            <a:t> Validation</a:t>
          </a:r>
        </a:p>
        <a:p>
          <a:pPr algn="l"/>
          <a:endParaRPr lang="en-BE" sz="1800" b="1">
            <a:solidFill>
              <a:schemeClr val="tx1"/>
            </a:solidFill>
          </a:endParaRPr>
        </a:p>
      </xdr:txBody>
    </xdr:sp>
    <xdr:clientData/>
  </xdr:twoCellAnchor>
  <xdr:twoCellAnchor>
    <xdr:from>
      <xdr:col>2</xdr:col>
      <xdr:colOff>118382</xdr:colOff>
      <xdr:row>245</xdr:row>
      <xdr:rowOff>107495</xdr:rowOff>
    </xdr:from>
    <xdr:to>
      <xdr:col>2</xdr:col>
      <xdr:colOff>3322819</xdr:colOff>
      <xdr:row>253</xdr:row>
      <xdr:rowOff>162394</xdr:rowOff>
    </xdr:to>
    <xdr:sp macro="" textlink="">
      <xdr:nvSpPr>
        <xdr:cNvPr id="9" name="Arrow: Left 8">
          <a:hlinkClick xmlns:r="http://schemas.openxmlformats.org/officeDocument/2006/relationships" r:id="rId5"/>
          <a:extLst>
            <a:ext uri="{FF2B5EF4-FFF2-40B4-BE49-F238E27FC236}">
              <a16:creationId xmlns:a16="http://schemas.microsoft.com/office/drawing/2014/main" id="{A0A23430-4DD2-E4F0-14C3-62475C30B0A8}"/>
            </a:ext>
          </a:extLst>
        </xdr:cNvPr>
        <xdr:cNvSpPr/>
      </xdr:nvSpPr>
      <xdr:spPr>
        <a:xfrm>
          <a:off x="2754152" y="54221987"/>
          <a:ext cx="3204437" cy="1553915"/>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General Information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160565</xdr:colOff>
      <xdr:row>110</xdr:row>
      <xdr:rowOff>53068</xdr:rowOff>
    </xdr:from>
    <xdr:to>
      <xdr:col>8</xdr:col>
      <xdr:colOff>213633</xdr:colOff>
      <xdr:row>118</xdr:row>
      <xdr:rowOff>31297</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7F0E8-8CEB-48B4-9BA8-D779EA9C83DD}"/>
            </a:ext>
          </a:extLst>
        </xdr:cNvPr>
        <xdr:cNvSpPr/>
      </xdr:nvSpPr>
      <xdr:spPr>
        <a:xfrm>
          <a:off x="11840936" y="31001154"/>
          <a:ext cx="2730954" cy="1458686"/>
        </a:xfrm>
        <a:prstGeom prst="righ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BE" sz="1800" b="1">
              <a:solidFill>
                <a:schemeClr val="tx1"/>
              </a:solidFill>
              <a:effectLst/>
              <a:latin typeface="+mn-lt"/>
              <a:ea typeface="+mn-ea"/>
              <a:cs typeface="+mn-cs"/>
            </a:rPr>
            <a:t>Go to Governance Disclosures</a:t>
          </a:r>
          <a:endParaRPr lang="en-BE" sz="1800" b="1">
            <a:solidFill>
              <a:schemeClr val="tx1"/>
            </a:solidFill>
            <a:effectLst/>
          </a:endParaRPr>
        </a:p>
      </xdr:txBody>
    </xdr:sp>
    <xdr:clientData/>
  </xdr:twoCellAnchor>
  <xdr:twoCellAnchor>
    <xdr:from>
      <xdr:col>2</xdr:col>
      <xdr:colOff>4667250</xdr:colOff>
      <xdr:row>112</xdr:row>
      <xdr:rowOff>56998</xdr:rowOff>
    </xdr:from>
    <xdr:to>
      <xdr:col>3</xdr:col>
      <xdr:colOff>2346959</xdr:colOff>
      <xdr:row>116</xdr:row>
      <xdr:rowOff>76200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C63E2430-FD6B-43E1-A3F6-4DDC98CB497F}"/>
            </a:ext>
          </a:extLst>
        </xdr:cNvPr>
        <xdr:cNvSpPr/>
      </xdr:nvSpPr>
      <xdr:spPr>
        <a:xfrm>
          <a:off x="6038850" y="21773998"/>
          <a:ext cx="2499359" cy="743102"/>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Introduction</a:t>
          </a:r>
        </a:p>
      </xdr:txBody>
    </xdr:sp>
    <xdr:clientData/>
  </xdr:twoCellAnchor>
  <xdr:twoCellAnchor>
    <xdr:from>
      <xdr:col>2</xdr:col>
      <xdr:colOff>4674113</xdr:colOff>
      <xdr:row>122</xdr:row>
      <xdr:rowOff>93556</xdr:rowOff>
    </xdr:from>
    <xdr:to>
      <xdr:col>3</xdr:col>
      <xdr:colOff>2295525</xdr:colOff>
      <xdr:row>126</xdr:row>
      <xdr:rowOff>76200</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926E470B-D682-412F-8335-2455D40665AC}"/>
            </a:ext>
          </a:extLst>
        </xdr:cNvPr>
        <xdr:cNvSpPr/>
      </xdr:nvSpPr>
      <xdr:spPr>
        <a:xfrm>
          <a:off x="6045713" y="23620306"/>
          <a:ext cx="2441062" cy="706544"/>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BE" sz="1800" b="1">
              <a:solidFill>
                <a:schemeClr val="tx1"/>
              </a:solidFill>
            </a:rPr>
            <a:t>Go to Table of Contents &amp;</a:t>
          </a:r>
          <a:r>
            <a:rPr lang="en-BE" sz="1800" b="1" baseline="0">
              <a:solidFill>
                <a:schemeClr val="tx1"/>
              </a:solidFill>
            </a:rPr>
            <a:t> Validation</a:t>
          </a:r>
        </a:p>
        <a:p>
          <a:pPr algn="l"/>
          <a:endParaRPr lang="en-BE" sz="1800" b="1">
            <a:solidFill>
              <a:schemeClr val="tx1"/>
            </a:solidFill>
          </a:endParaRPr>
        </a:p>
      </xdr:txBody>
    </xdr:sp>
    <xdr:clientData/>
  </xdr:twoCellAnchor>
  <xdr:twoCellAnchor>
    <xdr:from>
      <xdr:col>2</xdr:col>
      <xdr:colOff>1632</xdr:colOff>
      <xdr:row>110</xdr:row>
      <xdr:rowOff>82188</xdr:rowOff>
    </xdr:from>
    <xdr:to>
      <xdr:col>2</xdr:col>
      <xdr:colOff>2752725</xdr:colOff>
      <xdr:row>117</xdr:row>
      <xdr:rowOff>171451</xdr:rowOff>
    </xdr:to>
    <xdr:sp macro="" textlink="">
      <xdr:nvSpPr>
        <xdr:cNvPr id="6" name="Arrow: Left 5">
          <a:hlinkClick xmlns:r="http://schemas.openxmlformats.org/officeDocument/2006/relationships" r:id="rId4"/>
          <a:extLst>
            <a:ext uri="{FF2B5EF4-FFF2-40B4-BE49-F238E27FC236}">
              <a16:creationId xmlns:a16="http://schemas.microsoft.com/office/drawing/2014/main" id="{05D34B3E-7A7B-4C6A-ABAD-12F993B1167B}"/>
            </a:ext>
          </a:extLst>
        </xdr:cNvPr>
        <xdr:cNvSpPr/>
      </xdr:nvSpPr>
      <xdr:spPr>
        <a:xfrm>
          <a:off x="1373232" y="21437238"/>
          <a:ext cx="2751093" cy="1356088"/>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General Information</a:t>
          </a:r>
        </a:p>
      </xdr:txBody>
    </xdr:sp>
    <xdr:clientData/>
  </xdr:twoCellAnchor>
  <xdr:twoCellAnchor>
    <xdr:from>
      <xdr:col>1</xdr:col>
      <xdr:colOff>682261</xdr:colOff>
      <xdr:row>120</xdr:row>
      <xdr:rowOff>60145</xdr:rowOff>
    </xdr:from>
    <xdr:to>
      <xdr:col>2</xdr:col>
      <xdr:colOff>2733674</xdr:colOff>
      <xdr:row>128</xdr:row>
      <xdr:rowOff>38101</xdr:rowOff>
    </xdr:to>
    <xdr:sp macro="" textlink="">
      <xdr:nvSpPr>
        <xdr:cNvPr id="7" name="Arrow: Left 6">
          <a:hlinkClick xmlns:r="http://schemas.openxmlformats.org/officeDocument/2006/relationships" r:id="rId5"/>
          <a:extLst>
            <a:ext uri="{FF2B5EF4-FFF2-40B4-BE49-F238E27FC236}">
              <a16:creationId xmlns:a16="http://schemas.microsoft.com/office/drawing/2014/main" id="{7A757C88-ADDE-437C-BBC5-46F7C62BF5E6}"/>
            </a:ext>
          </a:extLst>
        </xdr:cNvPr>
        <xdr:cNvSpPr/>
      </xdr:nvSpPr>
      <xdr:spPr>
        <a:xfrm>
          <a:off x="1368061" y="23224945"/>
          <a:ext cx="2737213" cy="1425756"/>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Environmental Information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714376</xdr:colOff>
      <xdr:row>41</xdr:row>
      <xdr:rowOff>134249</xdr:rowOff>
    </xdr:from>
    <xdr:to>
      <xdr:col>7</xdr:col>
      <xdr:colOff>468631</xdr:colOff>
      <xdr:row>45</xdr:row>
      <xdr:rowOff>152400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8DC81852-B45D-4BA7-81E6-18451D6BACFB}"/>
            </a:ext>
          </a:extLst>
        </xdr:cNvPr>
        <xdr:cNvSpPr/>
      </xdr:nvSpPr>
      <xdr:spPr>
        <a:xfrm>
          <a:off x="5000626" y="9764024"/>
          <a:ext cx="3021330" cy="742051"/>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Introduction</a:t>
          </a:r>
        </a:p>
      </xdr:txBody>
    </xdr:sp>
    <xdr:clientData/>
  </xdr:twoCellAnchor>
  <xdr:twoCellAnchor>
    <xdr:from>
      <xdr:col>4</xdr:col>
      <xdr:colOff>771525</xdr:colOff>
      <xdr:row>51</xdr:row>
      <xdr:rowOff>85726</xdr:rowOff>
    </xdr:from>
    <xdr:to>
      <xdr:col>7</xdr:col>
      <xdr:colOff>456037</xdr:colOff>
      <xdr:row>55</xdr:row>
      <xdr:rowOff>134042</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BAFACF95-7662-4CC0-AA9A-C0846BB817A7}"/>
            </a:ext>
          </a:extLst>
        </xdr:cNvPr>
        <xdr:cNvSpPr/>
      </xdr:nvSpPr>
      <xdr:spPr>
        <a:xfrm>
          <a:off x="5057775" y="11525251"/>
          <a:ext cx="2951587" cy="772216"/>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BE" sz="1800" b="1">
              <a:solidFill>
                <a:schemeClr val="tx1"/>
              </a:solidFill>
            </a:rPr>
            <a:t>Go to Table of Contents &amp;</a:t>
          </a:r>
          <a:r>
            <a:rPr lang="en-BE" sz="1800" b="1" baseline="0">
              <a:solidFill>
                <a:schemeClr val="tx1"/>
              </a:solidFill>
            </a:rPr>
            <a:t> Validation</a:t>
          </a:r>
        </a:p>
        <a:p>
          <a:pPr algn="l"/>
          <a:endParaRPr lang="en-BE" sz="1800" b="1">
            <a:solidFill>
              <a:schemeClr val="tx1"/>
            </a:solidFill>
          </a:endParaRPr>
        </a:p>
      </xdr:txBody>
    </xdr:sp>
    <xdr:clientData/>
  </xdr:twoCellAnchor>
  <xdr:twoCellAnchor>
    <xdr:from>
      <xdr:col>1</xdr:col>
      <xdr:colOff>1196939</xdr:colOff>
      <xdr:row>39</xdr:row>
      <xdr:rowOff>104561</xdr:rowOff>
    </xdr:from>
    <xdr:to>
      <xdr:col>3</xdr:col>
      <xdr:colOff>325133</xdr:colOff>
      <xdr:row>47</xdr:row>
      <xdr:rowOff>143734</xdr:rowOff>
    </xdr:to>
    <xdr:sp macro="" textlink="">
      <xdr:nvSpPr>
        <xdr:cNvPr id="4" name="Arrow: Left 3">
          <a:hlinkClick xmlns:r="http://schemas.openxmlformats.org/officeDocument/2006/relationships" r:id="rId3"/>
          <a:extLst>
            <a:ext uri="{FF2B5EF4-FFF2-40B4-BE49-F238E27FC236}">
              <a16:creationId xmlns:a16="http://schemas.microsoft.com/office/drawing/2014/main" id="{D3F3F3FB-C055-40A4-8115-81157E182856}"/>
            </a:ext>
          </a:extLst>
        </xdr:cNvPr>
        <xdr:cNvSpPr/>
      </xdr:nvSpPr>
      <xdr:spPr>
        <a:xfrm>
          <a:off x="1892264" y="13049036"/>
          <a:ext cx="2728644" cy="1486973"/>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General Information</a:t>
          </a:r>
        </a:p>
      </xdr:txBody>
    </xdr:sp>
    <xdr:clientData/>
  </xdr:twoCellAnchor>
  <xdr:twoCellAnchor>
    <xdr:from>
      <xdr:col>1</xdr:col>
      <xdr:colOff>1215989</xdr:colOff>
      <xdr:row>49</xdr:row>
      <xdr:rowOff>87759</xdr:rowOff>
    </xdr:from>
    <xdr:to>
      <xdr:col>3</xdr:col>
      <xdr:colOff>344183</xdr:colOff>
      <xdr:row>57</xdr:row>
      <xdr:rowOff>125754</xdr:rowOff>
    </xdr:to>
    <xdr:sp macro="" textlink="">
      <xdr:nvSpPr>
        <xdr:cNvPr id="6" name="Arrow: Left 5">
          <a:hlinkClick xmlns:r="http://schemas.openxmlformats.org/officeDocument/2006/relationships" r:id="rId4"/>
          <a:extLst>
            <a:ext uri="{FF2B5EF4-FFF2-40B4-BE49-F238E27FC236}">
              <a16:creationId xmlns:a16="http://schemas.microsoft.com/office/drawing/2014/main" id="{E467942C-2652-431A-9503-8B9538F436CF}"/>
            </a:ext>
          </a:extLst>
        </xdr:cNvPr>
        <xdr:cNvSpPr/>
      </xdr:nvSpPr>
      <xdr:spPr>
        <a:xfrm>
          <a:off x="1911314" y="14841984"/>
          <a:ext cx="2728644" cy="1485795"/>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Environmental Information</a:t>
          </a:r>
        </a:p>
      </xdr:txBody>
    </xdr:sp>
    <xdr:clientData/>
  </xdr:twoCellAnchor>
  <xdr:twoCellAnchor>
    <xdr:from>
      <xdr:col>1</xdr:col>
      <xdr:colOff>1206464</xdr:colOff>
      <xdr:row>58</xdr:row>
      <xdr:rowOff>136454</xdr:rowOff>
    </xdr:from>
    <xdr:to>
      <xdr:col>3</xdr:col>
      <xdr:colOff>334658</xdr:colOff>
      <xdr:row>66</xdr:row>
      <xdr:rowOff>174449</xdr:rowOff>
    </xdr:to>
    <xdr:sp macro="" textlink="">
      <xdr:nvSpPr>
        <xdr:cNvPr id="7" name="Arrow: Left 6">
          <a:hlinkClick xmlns:r="http://schemas.openxmlformats.org/officeDocument/2006/relationships" r:id="rId5"/>
          <a:extLst>
            <a:ext uri="{FF2B5EF4-FFF2-40B4-BE49-F238E27FC236}">
              <a16:creationId xmlns:a16="http://schemas.microsoft.com/office/drawing/2014/main" id="{69FF6380-3005-4F74-92F9-46D52069ADDA}"/>
            </a:ext>
          </a:extLst>
        </xdr:cNvPr>
        <xdr:cNvSpPr/>
      </xdr:nvSpPr>
      <xdr:spPr>
        <a:xfrm>
          <a:off x="1901789" y="16519454"/>
          <a:ext cx="2728644" cy="1485795"/>
        </a:xfrm>
        <a:prstGeom prst="leftArrow">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BE" sz="1800" b="1">
              <a:solidFill>
                <a:schemeClr val="tx1"/>
              </a:solidFill>
            </a:rPr>
            <a:t>Go to Social Information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9799</xdr:colOff>
      <xdr:row>36</xdr:row>
      <xdr:rowOff>2794909</xdr:rowOff>
    </xdr:from>
    <xdr:to>
      <xdr:col>1</xdr:col>
      <xdr:colOff>377691</xdr:colOff>
      <xdr:row>45</xdr:row>
      <xdr:rowOff>94163</xdr:rowOff>
    </xdr:to>
    <xdr:pic>
      <xdr:nvPicPr>
        <xdr:cNvPr id="6" name="Picture 5">
          <a:extLst>
            <a:ext uri="{FF2B5EF4-FFF2-40B4-BE49-F238E27FC236}">
              <a16:creationId xmlns:a16="http://schemas.microsoft.com/office/drawing/2014/main" id="{CDE562F0-1AAB-A7D0-F64C-D5D643C680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99" y="15770680"/>
          <a:ext cx="2860721" cy="16682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426720</xdr:colOff>
      <xdr:row>0</xdr:row>
      <xdr:rowOff>0</xdr:rowOff>
    </xdr:from>
    <xdr:to>
      <xdr:col>13</xdr:col>
      <xdr:colOff>419522</xdr:colOff>
      <xdr:row>35</xdr:row>
      <xdr:rowOff>58993</xdr:rowOff>
    </xdr:to>
    <xdr:pic>
      <xdr:nvPicPr>
        <xdr:cNvPr id="3" name="Picture 2">
          <a:extLst>
            <a:ext uri="{FF2B5EF4-FFF2-40B4-BE49-F238E27FC236}">
              <a16:creationId xmlns:a16="http://schemas.microsoft.com/office/drawing/2014/main" id="{548C60B3-6811-340F-298F-3410CEC947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62700" y="0"/>
          <a:ext cx="4869602" cy="66147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ericht%202024250602-VSME-Digital-Template-la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able of Contents &amp; Validation"/>
      <sheetName val="General Information"/>
      <sheetName val="Environmental Disclosures"/>
      <sheetName val="Social Disclosures"/>
      <sheetName val="Governance Disclosures"/>
      <sheetName val="Fuel Converter"/>
      <sheetName val="Fuel Conversion Parameters"/>
      <sheetName val="Unit Of Measurement Converter"/>
      <sheetName val="Licence"/>
      <sheetName val="Enumeration Lists"/>
      <sheetName val="Technical Sheet"/>
    </sheetNames>
    <sheetDataSet>
      <sheetData sheetId="0"/>
      <sheetData sheetId="1"/>
      <sheetData sheetId="2"/>
      <sheetData sheetId="3"/>
      <sheetData sheetId="4"/>
      <sheetData sheetId="5"/>
      <sheetData sheetId="6">
        <row r="32">
          <cell r="A32" t="str">
            <v>-</v>
          </cell>
        </row>
      </sheetData>
      <sheetData sheetId="7"/>
      <sheetData sheetId="8"/>
      <sheetData sheetId="9"/>
      <sheetData sheetId="10"/>
      <sheetData sheetId="1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xbrl.efrag.org/taxonomy/vsme/2024-12-17/vsme-all.xsd"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xbrl.efrag.org/e-esrs/2024-12-17-efrag-vsme.xhtml" TargetMode="External"/><Relationship Id="rId13" Type="http://schemas.openxmlformats.org/officeDocument/2006/relationships/hyperlink" Target="https://xbrl.efrag.org/e-esrs/2024-12-17-efrag-vsme.xhtml" TargetMode="External"/><Relationship Id="rId18" Type="http://schemas.openxmlformats.org/officeDocument/2006/relationships/hyperlink" Target="https://xbrl.efrag.org/e-esrs/2024-12-17-efrag-vsme.xhtml" TargetMode="External"/><Relationship Id="rId26" Type="http://schemas.openxmlformats.org/officeDocument/2006/relationships/hyperlink" Target="https://xbrl.efrag.org/e-esrs/2024-12-17-efrag-vsme.xhtml" TargetMode="External"/><Relationship Id="rId3" Type="http://schemas.openxmlformats.org/officeDocument/2006/relationships/hyperlink" Target="https://xbrl.efrag.org/e-esrs/2024-12-17-efrag-vsme.xhtml" TargetMode="External"/><Relationship Id="rId21" Type="http://schemas.openxmlformats.org/officeDocument/2006/relationships/hyperlink" Target="https://xbrl.efrag.org/e-esrs/2024-12-17-efrag-vsme.xhtml" TargetMode="External"/><Relationship Id="rId34" Type="http://schemas.openxmlformats.org/officeDocument/2006/relationships/hyperlink" Target="https://xbrl.efrag.org/e-esrs/2024-12-17-efrag-vsme.xhtml" TargetMode="External"/><Relationship Id="rId7" Type="http://schemas.openxmlformats.org/officeDocument/2006/relationships/hyperlink" Target="https://xbrl.efrag.org/e-esrs/2024-12-17-efrag-vsme.xhtml" TargetMode="External"/><Relationship Id="rId12" Type="http://schemas.openxmlformats.org/officeDocument/2006/relationships/hyperlink" Target="https://xbrl.efrag.org/e-esrs/2024-12-17-efrag-vsme.xhtml" TargetMode="External"/><Relationship Id="rId17" Type="http://schemas.openxmlformats.org/officeDocument/2006/relationships/hyperlink" Target="https://xbrl.efrag.org/e-esrs/2024-12-17-efrag-vsme.xhtml" TargetMode="External"/><Relationship Id="rId25" Type="http://schemas.openxmlformats.org/officeDocument/2006/relationships/hyperlink" Target="https://xbrl.efrag.org/e-esrs/2024-12-17-efrag-vsme.xhtml" TargetMode="External"/><Relationship Id="rId33" Type="http://schemas.openxmlformats.org/officeDocument/2006/relationships/hyperlink" Target="https://xbrl.efrag.org/e-esrs/2024-12-17-efrag-vsme.xhtml" TargetMode="External"/><Relationship Id="rId38" Type="http://schemas.openxmlformats.org/officeDocument/2006/relationships/drawing" Target="../drawings/drawing2.xml"/><Relationship Id="rId2" Type="http://schemas.openxmlformats.org/officeDocument/2006/relationships/hyperlink" Target="https://xbrl.efrag.org/e-esrs/2024-12-17-efrag-vsme.xhtml" TargetMode="External"/><Relationship Id="rId16" Type="http://schemas.openxmlformats.org/officeDocument/2006/relationships/hyperlink" Target="https://xbrl.efrag.org/e-esrs/2024-12-17-efrag-vsme.xhtml" TargetMode="External"/><Relationship Id="rId20" Type="http://schemas.openxmlformats.org/officeDocument/2006/relationships/hyperlink" Target="https://xbrl.efrag.org/e-esrs/2024-12-17-efrag-vsme.xhtml" TargetMode="External"/><Relationship Id="rId29" Type="http://schemas.openxmlformats.org/officeDocument/2006/relationships/hyperlink" Target="https://xbrl.efrag.org/e-esrs/2024-12-17-efrag-vsme.xhtml" TargetMode="External"/><Relationship Id="rId1" Type="http://schemas.openxmlformats.org/officeDocument/2006/relationships/hyperlink" Target="https://xbrl.efrag.org/e-esrs/2024-12-17-efrag-vsme.xhtml" TargetMode="External"/><Relationship Id="rId6" Type="http://schemas.openxmlformats.org/officeDocument/2006/relationships/hyperlink" Target="https://xbrl.efrag.org/e-esrs/2024-12-17-efrag-vsme.xhtml" TargetMode="External"/><Relationship Id="rId11" Type="http://schemas.openxmlformats.org/officeDocument/2006/relationships/hyperlink" Target="https://xbrl.efrag.org/e-esrs/2024-12-17-efrag-vsme.xhtml" TargetMode="External"/><Relationship Id="rId24" Type="http://schemas.openxmlformats.org/officeDocument/2006/relationships/hyperlink" Target="https://xbrl.efrag.org/e-esrs/2024-12-17-efrag-vsme.xhtml" TargetMode="External"/><Relationship Id="rId32" Type="http://schemas.openxmlformats.org/officeDocument/2006/relationships/hyperlink" Target="https://xbrl.efrag.org/e-esrs/2024-12-17-efrag-vsme.xhtml" TargetMode="External"/><Relationship Id="rId37" Type="http://schemas.openxmlformats.org/officeDocument/2006/relationships/printerSettings" Target="../printerSettings/printerSettings3.bin"/><Relationship Id="rId5" Type="http://schemas.openxmlformats.org/officeDocument/2006/relationships/hyperlink" Target="https://xbrl.efrag.org/e-esrs/2024-12-17-efrag-vsme.xhtml" TargetMode="External"/><Relationship Id="rId15" Type="http://schemas.openxmlformats.org/officeDocument/2006/relationships/hyperlink" Target="https://xbrl.efrag.org/e-esrs/2024-12-17-efrag-vsme.xhtml" TargetMode="External"/><Relationship Id="rId23" Type="http://schemas.openxmlformats.org/officeDocument/2006/relationships/hyperlink" Target="https://xbrl.efrag.org/e-esrs/2024-12-17-efrag-vsme.xhtml" TargetMode="External"/><Relationship Id="rId28" Type="http://schemas.openxmlformats.org/officeDocument/2006/relationships/hyperlink" Target="https://xbrl.efrag.org/e-esrs/2024-12-17-efrag-vsme.xhtml" TargetMode="External"/><Relationship Id="rId36" Type="http://schemas.openxmlformats.org/officeDocument/2006/relationships/hyperlink" Target="https://xbrl.efrag.org/e-esrs/2024-12-17-efrag-vsme.xhtml" TargetMode="External"/><Relationship Id="rId10" Type="http://schemas.openxmlformats.org/officeDocument/2006/relationships/hyperlink" Target="https://xbrl.efrag.org/e-esrs/2024-12-17-efrag-vsme.xhtml" TargetMode="External"/><Relationship Id="rId19" Type="http://schemas.openxmlformats.org/officeDocument/2006/relationships/hyperlink" Target="https://xbrl.efrag.org/e-esrs/2024-12-17-efrag-vsme.xhtml" TargetMode="External"/><Relationship Id="rId31" Type="http://schemas.openxmlformats.org/officeDocument/2006/relationships/hyperlink" Target="https://xbrl.efrag.org/e-esrs/2024-12-17-efrag-vsme.xhtml" TargetMode="External"/><Relationship Id="rId4" Type="http://schemas.openxmlformats.org/officeDocument/2006/relationships/hyperlink" Target="https://xbrl.efrag.org/e-esrs/2024-12-17-efrag-vsme.xhtml" TargetMode="External"/><Relationship Id="rId9" Type="http://schemas.openxmlformats.org/officeDocument/2006/relationships/hyperlink" Target="https://xbrl.efrag.org/e-esrs/2024-12-17-efrag-vsme.xhtml" TargetMode="External"/><Relationship Id="rId14" Type="http://schemas.openxmlformats.org/officeDocument/2006/relationships/hyperlink" Target="https://xbrl.efrag.org/e-esrs/2024-12-17-efrag-vsme.xhtml" TargetMode="External"/><Relationship Id="rId22" Type="http://schemas.openxmlformats.org/officeDocument/2006/relationships/hyperlink" Target="https://xbrl.efrag.org/e-esrs/2024-12-17-efrag-vsme.xhtml" TargetMode="External"/><Relationship Id="rId27" Type="http://schemas.openxmlformats.org/officeDocument/2006/relationships/hyperlink" Target="https://xbrl.efrag.org/e-esrs/2024-12-17-efrag-vsme.xhtml" TargetMode="External"/><Relationship Id="rId30" Type="http://schemas.openxmlformats.org/officeDocument/2006/relationships/hyperlink" Target="https://xbrl.efrag.org/e-esrs/2024-12-17-efrag-vsme.xhtml" TargetMode="External"/><Relationship Id="rId35" Type="http://schemas.openxmlformats.org/officeDocument/2006/relationships/hyperlink" Target="https://xbrl.efrag.org/e-esrs/2024-12-17-efrag-vsme.xhtml"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xbrl.efrag.org/e-esrs/2024-12-17-efrag-vsme.xhtml" TargetMode="External"/><Relationship Id="rId18" Type="http://schemas.openxmlformats.org/officeDocument/2006/relationships/hyperlink" Target="https://xbrl.efrag.org/e-esrs/2024-12-17-efrag-vsme.xhtml" TargetMode="External"/><Relationship Id="rId26" Type="http://schemas.openxmlformats.org/officeDocument/2006/relationships/hyperlink" Target="https://xbrl.efrag.org/e-esrs/2024-12-17-efrag-vsme.xhtml" TargetMode="External"/><Relationship Id="rId39" Type="http://schemas.openxmlformats.org/officeDocument/2006/relationships/hyperlink" Target="https://xbrl.efrag.org/e-esrs/2024-12-17-efrag-vsme.xhtml" TargetMode="External"/><Relationship Id="rId3" Type="http://schemas.openxmlformats.org/officeDocument/2006/relationships/hyperlink" Target="https://xbrl.efrag.org/e-esrs/2024-12-17-efrag-vsme.xhtml" TargetMode="External"/><Relationship Id="rId21" Type="http://schemas.openxmlformats.org/officeDocument/2006/relationships/hyperlink" Target="https://xbrl.efrag.org/e-esrs/2024-12-17-efrag-vsme.xhtml" TargetMode="External"/><Relationship Id="rId34" Type="http://schemas.openxmlformats.org/officeDocument/2006/relationships/hyperlink" Target="https://xbrl.efrag.org/e-esrs/2024-12-17-efrag-vsme.xhtml" TargetMode="External"/><Relationship Id="rId42" Type="http://schemas.openxmlformats.org/officeDocument/2006/relationships/hyperlink" Target="https://xbrl.efrag.org/e-esrs/2024-12-17-efrag-vsme.xhtml" TargetMode="External"/><Relationship Id="rId47" Type="http://schemas.openxmlformats.org/officeDocument/2006/relationships/hyperlink" Target="https://xbrl.efrag.org/e-esrs/2024-12-17-efrag-vsme.xhtml" TargetMode="External"/><Relationship Id="rId50" Type="http://schemas.openxmlformats.org/officeDocument/2006/relationships/hyperlink" Target="https://xbrl.efrag.org/e-esrs/2024-12-17-efrag-vsme.xhtml" TargetMode="External"/><Relationship Id="rId7" Type="http://schemas.openxmlformats.org/officeDocument/2006/relationships/hyperlink" Target="https://xbrl.efrag.org/e-esrs/2024-12-17-efrag-vsme.xhtml" TargetMode="External"/><Relationship Id="rId12" Type="http://schemas.openxmlformats.org/officeDocument/2006/relationships/hyperlink" Target="https://xbrl.efrag.org/e-esrs/2024-12-17-efrag-vsme.xhtml" TargetMode="External"/><Relationship Id="rId17" Type="http://schemas.openxmlformats.org/officeDocument/2006/relationships/hyperlink" Target="https://xbrl.efrag.org/e-esrs/2024-12-17-efrag-vsme.xhtml" TargetMode="External"/><Relationship Id="rId25" Type="http://schemas.openxmlformats.org/officeDocument/2006/relationships/hyperlink" Target="https://xbrl.efrag.org/e-esrs/2024-12-17-efrag-vsme.xhtml" TargetMode="External"/><Relationship Id="rId33" Type="http://schemas.openxmlformats.org/officeDocument/2006/relationships/hyperlink" Target="https://xbrl.efrag.org/e-esrs/2024-12-17-efrag-vsme.xhtml" TargetMode="External"/><Relationship Id="rId38" Type="http://schemas.openxmlformats.org/officeDocument/2006/relationships/hyperlink" Target="https://xbrl.efrag.org/e-esrs/2024-12-17-efrag-vsme.xhtml" TargetMode="External"/><Relationship Id="rId46" Type="http://schemas.openxmlformats.org/officeDocument/2006/relationships/hyperlink" Target="https://xbrl.efrag.org/e-esrs/2024-12-17-efrag-vsme.xhtml" TargetMode="External"/><Relationship Id="rId2" Type="http://schemas.openxmlformats.org/officeDocument/2006/relationships/hyperlink" Target="https://xbrl.efrag.org/e-esrs/2024-12-17-efrag-vsme.xhtml" TargetMode="External"/><Relationship Id="rId16" Type="http://schemas.openxmlformats.org/officeDocument/2006/relationships/hyperlink" Target="https://xbrl.efrag.org/e-esrs/2024-12-17-efrag-vsme.xhtml" TargetMode="External"/><Relationship Id="rId20" Type="http://schemas.openxmlformats.org/officeDocument/2006/relationships/hyperlink" Target="https://xbrl.efrag.org/e-esrs/2024-12-17-efrag-vsme.xhtml" TargetMode="External"/><Relationship Id="rId29" Type="http://schemas.openxmlformats.org/officeDocument/2006/relationships/hyperlink" Target="https://xbrl.efrag.org/e-esrs/2024-12-17-efrag-vsme.xhtml" TargetMode="External"/><Relationship Id="rId41" Type="http://schemas.openxmlformats.org/officeDocument/2006/relationships/hyperlink" Target="https://xbrl.efrag.org/e-esrs/2024-12-17-efrag-vsme.xhtml" TargetMode="External"/><Relationship Id="rId1" Type="http://schemas.openxmlformats.org/officeDocument/2006/relationships/hyperlink" Target="https://xbrl.efrag.org/e-esrs/2024-12-17-efrag-vsme.xhtml" TargetMode="External"/><Relationship Id="rId6" Type="http://schemas.openxmlformats.org/officeDocument/2006/relationships/hyperlink" Target="https://xbrl.efrag.org/e-esrs/2024-12-17-efrag-vsme.xhtml" TargetMode="External"/><Relationship Id="rId11" Type="http://schemas.openxmlformats.org/officeDocument/2006/relationships/hyperlink" Target="https://xbrl.efrag.org/e-esrs/2024-12-17-efrag-vsme.xhtml" TargetMode="External"/><Relationship Id="rId24" Type="http://schemas.openxmlformats.org/officeDocument/2006/relationships/hyperlink" Target="https://xbrl.efrag.org/e-esrs/2024-12-17-efrag-vsme.xhtml" TargetMode="External"/><Relationship Id="rId32" Type="http://schemas.openxmlformats.org/officeDocument/2006/relationships/hyperlink" Target="https://xbrl.efrag.org/e-esrs/2024-12-17-efrag-vsme.xhtml" TargetMode="External"/><Relationship Id="rId37" Type="http://schemas.openxmlformats.org/officeDocument/2006/relationships/hyperlink" Target="https://xbrl.efrag.org/e-esrs/2024-12-17-efrag-vsme.xhtml" TargetMode="External"/><Relationship Id="rId40" Type="http://schemas.openxmlformats.org/officeDocument/2006/relationships/hyperlink" Target="https://xbrl.efrag.org/e-esrs/2024-12-17-efrag-vsme.xhtml" TargetMode="External"/><Relationship Id="rId45" Type="http://schemas.openxmlformats.org/officeDocument/2006/relationships/hyperlink" Target="https://xbrl.efrag.org/e-esrs/2024-12-17-efrag-vsme.xhtml" TargetMode="External"/><Relationship Id="rId53" Type="http://schemas.openxmlformats.org/officeDocument/2006/relationships/drawing" Target="../drawings/drawing3.xml"/><Relationship Id="rId5" Type="http://schemas.openxmlformats.org/officeDocument/2006/relationships/hyperlink" Target="https://xbrl.efrag.org/e-esrs/2024-12-17-efrag-vsme.xhtml" TargetMode="External"/><Relationship Id="rId15" Type="http://schemas.openxmlformats.org/officeDocument/2006/relationships/hyperlink" Target="https://xbrl.efrag.org/e-esrs/2024-12-17-efrag-vsme.xhtml" TargetMode="External"/><Relationship Id="rId23" Type="http://schemas.openxmlformats.org/officeDocument/2006/relationships/hyperlink" Target="https://xbrl.efrag.org/e-esrs/2024-12-17-efrag-vsme.xhtml" TargetMode="External"/><Relationship Id="rId28" Type="http://schemas.openxmlformats.org/officeDocument/2006/relationships/hyperlink" Target="https://xbrl.efrag.org/e-esrs/2024-12-17-efrag-vsme.xhtml" TargetMode="External"/><Relationship Id="rId36" Type="http://schemas.openxmlformats.org/officeDocument/2006/relationships/hyperlink" Target="https://xbrl.efrag.org/e-esrs/2024-12-17-efrag-vsme.xhtml" TargetMode="External"/><Relationship Id="rId49" Type="http://schemas.openxmlformats.org/officeDocument/2006/relationships/hyperlink" Target="https://xbrl.efrag.org/e-esrs/2024-12-17-efrag-vsme.xhtml" TargetMode="External"/><Relationship Id="rId10" Type="http://schemas.openxmlformats.org/officeDocument/2006/relationships/hyperlink" Target="https://xbrl.efrag.org/e-esrs/2024-12-17-efrag-vsme.xhtml" TargetMode="External"/><Relationship Id="rId19" Type="http://schemas.openxmlformats.org/officeDocument/2006/relationships/hyperlink" Target="https://xbrl.efrag.org/e-esrs/2024-12-17-efrag-vsme.xhtml" TargetMode="External"/><Relationship Id="rId31" Type="http://schemas.openxmlformats.org/officeDocument/2006/relationships/hyperlink" Target="https://xbrl.efrag.org/e-esrs/2024-12-17-efrag-vsme.xhtml" TargetMode="External"/><Relationship Id="rId44" Type="http://schemas.openxmlformats.org/officeDocument/2006/relationships/hyperlink" Target="https://xbrl.efrag.org/e-esrs/2024-12-17-efrag-vsme.xhtml" TargetMode="External"/><Relationship Id="rId52" Type="http://schemas.openxmlformats.org/officeDocument/2006/relationships/printerSettings" Target="../printerSettings/printerSettings4.bin"/><Relationship Id="rId4" Type="http://schemas.openxmlformats.org/officeDocument/2006/relationships/hyperlink" Target="https://xbrl.efrag.org/e-esrs/2024-12-17-efrag-vsme.xhtml" TargetMode="External"/><Relationship Id="rId9" Type="http://schemas.openxmlformats.org/officeDocument/2006/relationships/hyperlink" Target="https://xbrl.efrag.org/e-esrs/2024-12-17-efrag-vsme.xhtml" TargetMode="External"/><Relationship Id="rId14" Type="http://schemas.openxmlformats.org/officeDocument/2006/relationships/hyperlink" Target="https://xbrl.efrag.org/e-esrs/2024-12-17-efrag-vsme.xhtml" TargetMode="External"/><Relationship Id="rId22" Type="http://schemas.openxmlformats.org/officeDocument/2006/relationships/hyperlink" Target="https://xbrl.efrag.org/e-esrs/2024-12-17-efrag-vsme.xhtml" TargetMode="External"/><Relationship Id="rId27" Type="http://schemas.openxmlformats.org/officeDocument/2006/relationships/hyperlink" Target="https://xbrl.efrag.org/e-esrs/2024-12-17-efrag-vsme.xhtml" TargetMode="External"/><Relationship Id="rId30" Type="http://schemas.openxmlformats.org/officeDocument/2006/relationships/hyperlink" Target="https://xbrl.efrag.org/e-esrs/2024-12-17-efrag-vsme.xhtml" TargetMode="External"/><Relationship Id="rId35" Type="http://schemas.openxmlformats.org/officeDocument/2006/relationships/hyperlink" Target="https://xbrl.efrag.org/e-esrs/2024-12-17-efrag-vsme.xhtml" TargetMode="External"/><Relationship Id="rId43" Type="http://schemas.openxmlformats.org/officeDocument/2006/relationships/hyperlink" Target="https://xbrl.efrag.org/e-esrs/2024-12-17-efrag-vsme.xhtml" TargetMode="External"/><Relationship Id="rId48" Type="http://schemas.openxmlformats.org/officeDocument/2006/relationships/hyperlink" Target="https://xbrl.efrag.org/e-esrs/2024-12-17-efrag-vsme.xhtml" TargetMode="External"/><Relationship Id="rId8" Type="http://schemas.openxmlformats.org/officeDocument/2006/relationships/hyperlink" Target="https://xbrl.efrag.org/e-esrs/2024-12-17-efrag-vsme.xhtml" TargetMode="External"/><Relationship Id="rId51" Type="http://schemas.openxmlformats.org/officeDocument/2006/relationships/hyperlink" Target="https://xbrl.efrag.org/e-esrs/2024-12-17-efrag-vsme.xhtml"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xbrl.efrag.org/e-esrs/2024-12-17-efrag-vsme.xhtml" TargetMode="External"/><Relationship Id="rId18" Type="http://schemas.openxmlformats.org/officeDocument/2006/relationships/hyperlink" Target="https://xbrl.efrag.org/e-esrs/2024-12-17-efrag-vsme.xhtml" TargetMode="External"/><Relationship Id="rId26" Type="http://schemas.openxmlformats.org/officeDocument/2006/relationships/hyperlink" Target="https://xbrl.efrag.org/e-esrs/2024-12-17-efrag-vsme.xhtml" TargetMode="External"/><Relationship Id="rId39" Type="http://schemas.openxmlformats.org/officeDocument/2006/relationships/hyperlink" Target="https://xbrl.efrag.org/e-esrs/2024-12-17-efrag-vsme.xhtml" TargetMode="External"/><Relationship Id="rId21" Type="http://schemas.openxmlformats.org/officeDocument/2006/relationships/hyperlink" Target="https://xbrl.efrag.org/e-esrs/2024-12-17-efrag-vsme.xhtml" TargetMode="External"/><Relationship Id="rId34" Type="http://schemas.openxmlformats.org/officeDocument/2006/relationships/hyperlink" Target="https://xbrl.efrag.org/e-esrs/2024-12-17-efrag-vsme.xhtml" TargetMode="External"/><Relationship Id="rId42" Type="http://schemas.openxmlformats.org/officeDocument/2006/relationships/hyperlink" Target="https://xbrl.efrag.org/e-esrs/2024-12-17-efrag-vsme.xhtml" TargetMode="External"/><Relationship Id="rId47" Type="http://schemas.openxmlformats.org/officeDocument/2006/relationships/hyperlink" Target="https://xbrl.efrag.org/e-esrs/2024-12-17-efrag-vsme.xhtml" TargetMode="External"/><Relationship Id="rId50" Type="http://schemas.openxmlformats.org/officeDocument/2006/relationships/hyperlink" Target="https://xbrl.efrag.org/e-esrs/2024-12-17-efrag-vsme.xhtml" TargetMode="External"/><Relationship Id="rId55" Type="http://schemas.openxmlformats.org/officeDocument/2006/relationships/hyperlink" Target="https://xbrl.efrag.org/e-esrs/2024-12-17-efrag-vsme.xhtml" TargetMode="External"/><Relationship Id="rId63" Type="http://schemas.openxmlformats.org/officeDocument/2006/relationships/hyperlink" Target="https://xbrl.efrag.org/e-esrs/2024-12-17-efrag-vsme.xhtml" TargetMode="External"/><Relationship Id="rId7" Type="http://schemas.openxmlformats.org/officeDocument/2006/relationships/hyperlink" Target="https://xbrl.efrag.org/e-esrs/2024-12-17-efrag-vsme.xhtml" TargetMode="External"/><Relationship Id="rId2" Type="http://schemas.openxmlformats.org/officeDocument/2006/relationships/hyperlink" Target="https://xbrl.efrag.org/e-esrs/2024-12-17-efrag-vsme.xhtml" TargetMode="External"/><Relationship Id="rId16" Type="http://schemas.openxmlformats.org/officeDocument/2006/relationships/hyperlink" Target="https://xbrl.efrag.org/e-esrs/2024-12-17-efrag-vsme.xhtml" TargetMode="External"/><Relationship Id="rId20" Type="http://schemas.openxmlformats.org/officeDocument/2006/relationships/hyperlink" Target="https://xbrl.efrag.org/e-esrs/2024-12-17-efrag-vsme.xhtml" TargetMode="External"/><Relationship Id="rId29" Type="http://schemas.openxmlformats.org/officeDocument/2006/relationships/hyperlink" Target="https://xbrl.efrag.org/e-esrs/2024-12-17-efrag-vsme.xhtml" TargetMode="External"/><Relationship Id="rId41" Type="http://schemas.openxmlformats.org/officeDocument/2006/relationships/hyperlink" Target="https://xbrl.efrag.org/e-esrs/2024-12-17-efrag-vsme.xhtml" TargetMode="External"/><Relationship Id="rId54" Type="http://schemas.openxmlformats.org/officeDocument/2006/relationships/hyperlink" Target="https://xbrl.efrag.org/e-esrs/2024-12-17-efrag-vsme.xhtml" TargetMode="External"/><Relationship Id="rId62" Type="http://schemas.openxmlformats.org/officeDocument/2006/relationships/hyperlink" Target="https://xbrl.efrag.org/e-esrs/2024-12-17-efrag-vsme.xhtml" TargetMode="External"/><Relationship Id="rId1" Type="http://schemas.openxmlformats.org/officeDocument/2006/relationships/hyperlink" Target="https://xbrl.efrag.org/e-esrs/2024-12-17-efrag-vsme.xhtml" TargetMode="External"/><Relationship Id="rId6" Type="http://schemas.openxmlformats.org/officeDocument/2006/relationships/hyperlink" Target="https://xbrl.efrag.org/e-esrs/2024-12-17-efrag-vsme.xhtml" TargetMode="External"/><Relationship Id="rId11" Type="http://schemas.openxmlformats.org/officeDocument/2006/relationships/hyperlink" Target="https://xbrl.efrag.org/e-esrs/2024-12-17-efrag-vsme.xhtml" TargetMode="External"/><Relationship Id="rId24" Type="http://schemas.openxmlformats.org/officeDocument/2006/relationships/hyperlink" Target="https://xbrl.efrag.org/e-esrs/2024-12-17-efrag-vsme.xhtml" TargetMode="External"/><Relationship Id="rId32" Type="http://schemas.openxmlformats.org/officeDocument/2006/relationships/hyperlink" Target="https://xbrl.efrag.org/e-esrs/2024-12-17-efrag-vsme.xhtml" TargetMode="External"/><Relationship Id="rId37" Type="http://schemas.openxmlformats.org/officeDocument/2006/relationships/hyperlink" Target="https://xbrl.efrag.org/e-esrs/2024-12-17-efrag-vsme.xhtml" TargetMode="External"/><Relationship Id="rId40" Type="http://schemas.openxmlformats.org/officeDocument/2006/relationships/hyperlink" Target="https://xbrl.efrag.org/e-esrs/2024-12-17-efrag-vsme.xhtml" TargetMode="External"/><Relationship Id="rId45" Type="http://schemas.openxmlformats.org/officeDocument/2006/relationships/hyperlink" Target="https://xbrl.efrag.org/e-esrs/2024-12-17-efrag-vsme.xhtml" TargetMode="External"/><Relationship Id="rId53" Type="http://schemas.openxmlformats.org/officeDocument/2006/relationships/hyperlink" Target="https://xbrl.efrag.org/e-esrs/2024-12-17-efrag-vsme.xhtml" TargetMode="External"/><Relationship Id="rId58" Type="http://schemas.openxmlformats.org/officeDocument/2006/relationships/hyperlink" Target="https://xbrl.efrag.org/e-esrs/2024-12-17-efrag-vsme.xhtml" TargetMode="External"/><Relationship Id="rId5" Type="http://schemas.openxmlformats.org/officeDocument/2006/relationships/hyperlink" Target="https://xbrl.efrag.org/e-esrs/2024-12-17-efrag-vsme.xhtml" TargetMode="External"/><Relationship Id="rId15" Type="http://schemas.openxmlformats.org/officeDocument/2006/relationships/hyperlink" Target="https://xbrl.efrag.org/e-esrs/2024-12-17-efrag-vsme.xhtml" TargetMode="External"/><Relationship Id="rId23" Type="http://schemas.openxmlformats.org/officeDocument/2006/relationships/hyperlink" Target="https://xbrl.efrag.org/e-esrs/2024-12-17-efrag-vsme.xhtml" TargetMode="External"/><Relationship Id="rId28" Type="http://schemas.openxmlformats.org/officeDocument/2006/relationships/hyperlink" Target="https://xbrl.efrag.org/e-esrs/2024-12-17-efrag-vsme.xhtml" TargetMode="External"/><Relationship Id="rId36" Type="http://schemas.openxmlformats.org/officeDocument/2006/relationships/hyperlink" Target="https://xbrl.efrag.org/e-esrs/2024-12-17-efrag-vsme.xhtml" TargetMode="External"/><Relationship Id="rId49" Type="http://schemas.openxmlformats.org/officeDocument/2006/relationships/hyperlink" Target="https://xbrl.efrag.org/e-esrs/2024-12-17-efrag-vsme.xhtml" TargetMode="External"/><Relationship Id="rId57" Type="http://schemas.openxmlformats.org/officeDocument/2006/relationships/hyperlink" Target="https://xbrl.efrag.org/e-esrs/2024-12-17-efrag-vsme.xhtml" TargetMode="External"/><Relationship Id="rId61" Type="http://schemas.openxmlformats.org/officeDocument/2006/relationships/hyperlink" Target="https://xbrl.efrag.org/e-esrs/2024-12-17-efrag-vsme.xhtml" TargetMode="External"/><Relationship Id="rId10" Type="http://schemas.openxmlformats.org/officeDocument/2006/relationships/hyperlink" Target="https://xbrl.efrag.org/e-esrs/2024-12-17-efrag-vsme.xhtml" TargetMode="External"/><Relationship Id="rId19" Type="http://schemas.openxmlformats.org/officeDocument/2006/relationships/hyperlink" Target="https://xbrl.efrag.org/e-esrs/2024-12-17-efrag-vsme.xhtml" TargetMode="External"/><Relationship Id="rId31" Type="http://schemas.openxmlformats.org/officeDocument/2006/relationships/hyperlink" Target="https://xbrl.efrag.org/e-esrs/2024-12-17-efrag-vsme.xhtml" TargetMode="External"/><Relationship Id="rId44" Type="http://schemas.openxmlformats.org/officeDocument/2006/relationships/hyperlink" Target="https://xbrl.efrag.org/e-esrs/2024-12-17-efrag-vsme.xhtml" TargetMode="External"/><Relationship Id="rId52" Type="http://schemas.openxmlformats.org/officeDocument/2006/relationships/hyperlink" Target="https://xbrl.efrag.org/e-esrs/2024-12-17-efrag-vsme.xhtml" TargetMode="External"/><Relationship Id="rId60" Type="http://schemas.openxmlformats.org/officeDocument/2006/relationships/hyperlink" Target="https://xbrl.efrag.org/e-esrs/2024-12-17-efrag-vsme.xhtml" TargetMode="External"/><Relationship Id="rId65" Type="http://schemas.openxmlformats.org/officeDocument/2006/relationships/drawing" Target="../drawings/drawing4.xml"/><Relationship Id="rId4" Type="http://schemas.openxmlformats.org/officeDocument/2006/relationships/hyperlink" Target="https://xbrl.efrag.org/e-esrs/2024-12-17-efrag-vsme.xhtml" TargetMode="External"/><Relationship Id="rId9" Type="http://schemas.openxmlformats.org/officeDocument/2006/relationships/hyperlink" Target="https://xbrl.efrag.org/e-esrs/2024-12-17-efrag-vsme.xhtml" TargetMode="External"/><Relationship Id="rId14" Type="http://schemas.openxmlformats.org/officeDocument/2006/relationships/hyperlink" Target="https://xbrl.efrag.org/e-esrs/2024-12-17-efrag-vsme.xhtml" TargetMode="External"/><Relationship Id="rId22" Type="http://schemas.openxmlformats.org/officeDocument/2006/relationships/hyperlink" Target="https://xbrl.efrag.org/e-esrs/2024-12-17-efrag-vsme.xhtml" TargetMode="External"/><Relationship Id="rId27" Type="http://schemas.openxmlformats.org/officeDocument/2006/relationships/hyperlink" Target="https://xbrl.efrag.org/e-esrs/2024-12-17-efrag-vsme.xhtml" TargetMode="External"/><Relationship Id="rId30" Type="http://schemas.openxmlformats.org/officeDocument/2006/relationships/hyperlink" Target="https://xbrl.efrag.org/e-esrs/2024-12-17-efrag-vsme.xhtml" TargetMode="External"/><Relationship Id="rId35" Type="http://schemas.openxmlformats.org/officeDocument/2006/relationships/hyperlink" Target="https://xbrl.efrag.org/e-esrs/2024-12-17-efrag-vsme.xhtml" TargetMode="External"/><Relationship Id="rId43" Type="http://schemas.openxmlformats.org/officeDocument/2006/relationships/hyperlink" Target="https://xbrl.efrag.org/e-esrs/2024-12-17-efrag-vsme.xhtml" TargetMode="External"/><Relationship Id="rId48" Type="http://schemas.openxmlformats.org/officeDocument/2006/relationships/hyperlink" Target="https://xbrl.efrag.org/e-esrs/2024-12-17-efrag-vsme.xhtml" TargetMode="External"/><Relationship Id="rId56" Type="http://schemas.openxmlformats.org/officeDocument/2006/relationships/hyperlink" Target="https://xbrl.efrag.org/e-esrs/2024-12-17-efrag-vsme.xhtml" TargetMode="External"/><Relationship Id="rId64" Type="http://schemas.openxmlformats.org/officeDocument/2006/relationships/printerSettings" Target="../printerSettings/printerSettings5.bin"/><Relationship Id="rId8" Type="http://schemas.openxmlformats.org/officeDocument/2006/relationships/hyperlink" Target="https://xbrl.efrag.org/e-esrs/2024-12-17-efrag-vsme.xhtml" TargetMode="External"/><Relationship Id="rId51" Type="http://schemas.openxmlformats.org/officeDocument/2006/relationships/hyperlink" Target="https://xbrl.efrag.org/e-esrs/2024-12-17-efrag-vsme.xhtml" TargetMode="External"/><Relationship Id="rId3" Type="http://schemas.openxmlformats.org/officeDocument/2006/relationships/hyperlink" Target="https://xbrl.efrag.org/e-esrs/2024-12-17-efrag-vsme.xhtml" TargetMode="External"/><Relationship Id="rId12" Type="http://schemas.openxmlformats.org/officeDocument/2006/relationships/hyperlink" Target="https://xbrl.efrag.org/e-esrs/2024-12-17-efrag-vsme.xhtml" TargetMode="External"/><Relationship Id="rId17" Type="http://schemas.openxmlformats.org/officeDocument/2006/relationships/hyperlink" Target="https://xbrl.efrag.org/e-esrs/2024-12-17-efrag-vsme.xhtml" TargetMode="External"/><Relationship Id="rId25" Type="http://schemas.openxmlformats.org/officeDocument/2006/relationships/hyperlink" Target="https://xbrl.efrag.org/e-esrs/2024-12-17-efrag-vsme.xhtml" TargetMode="External"/><Relationship Id="rId33" Type="http://schemas.openxmlformats.org/officeDocument/2006/relationships/hyperlink" Target="https://xbrl.efrag.org/e-esrs/2024-12-17-efrag-vsme.xhtml" TargetMode="External"/><Relationship Id="rId38" Type="http://schemas.openxmlformats.org/officeDocument/2006/relationships/hyperlink" Target="https://xbrl.efrag.org/e-esrs/2024-12-17-efrag-vsme.xhtml" TargetMode="External"/><Relationship Id="rId46" Type="http://schemas.openxmlformats.org/officeDocument/2006/relationships/hyperlink" Target="https://xbrl.efrag.org/e-esrs/2024-12-17-efrag-vsme.xhtml" TargetMode="External"/><Relationship Id="rId59" Type="http://schemas.openxmlformats.org/officeDocument/2006/relationships/hyperlink" Target="https://xbrl.efrag.org/e-esrs/2024-12-17-efrag-vsme.xhtm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xbrl.efrag.org/e-esrs/2024-12-17-efrag-vsme.xhtml" TargetMode="External"/><Relationship Id="rId13" Type="http://schemas.openxmlformats.org/officeDocument/2006/relationships/hyperlink" Target="https://xbrl.efrag.org/e-esrs/2024-12-17-efrag-vsme.xhtml" TargetMode="External"/><Relationship Id="rId18" Type="http://schemas.openxmlformats.org/officeDocument/2006/relationships/printerSettings" Target="../printerSettings/printerSettings6.bin"/><Relationship Id="rId3" Type="http://schemas.openxmlformats.org/officeDocument/2006/relationships/hyperlink" Target="https://xbrl.efrag.org/e-esrs/2024-12-17-efrag-vsme.xhtml" TargetMode="External"/><Relationship Id="rId7" Type="http://schemas.openxmlformats.org/officeDocument/2006/relationships/hyperlink" Target="https://xbrl.efrag.org/e-esrs/2024-12-17-efrag-vsme.xhtml" TargetMode="External"/><Relationship Id="rId12" Type="http://schemas.openxmlformats.org/officeDocument/2006/relationships/hyperlink" Target="https://xbrl.efrag.org/e-esrs/2024-12-17-efrag-vsme.xhtml" TargetMode="External"/><Relationship Id="rId17" Type="http://schemas.openxmlformats.org/officeDocument/2006/relationships/hyperlink" Target="https://xbrl.efrag.org/e-esrs/2024-12-17-efrag-vsme.xhtml" TargetMode="External"/><Relationship Id="rId2" Type="http://schemas.openxmlformats.org/officeDocument/2006/relationships/hyperlink" Target="https://xbrl.efrag.org/e-esrs/2024-12-17-efrag-vsme.xhtml" TargetMode="External"/><Relationship Id="rId16" Type="http://schemas.openxmlformats.org/officeDocument/2006/relationships/hyperlink" Target="https://xbrl.efrag.org/e-esrs/2024-12-17-efrag-vsme.xhtml" TargetMode="External"/><Relationship Id="rId1" Type="http://schemas.openxmlformats.org/officeDocument/2006/relationships/hyperlink" Target="https://xbrl.efrag.org/e-esrs/2024-12-17-efrag-vsme.xhtml" TargetMode="External"/><Relationship Id="rId6" Type="http://schemas.openxmlformats.org/officeDocument/2006/relationships/hyperlink" Target="https://xbrl.efrag.org/e-esrs/2024-12-17-efrag-vsme.xhtml" TargetMode="External"/><Relationship Id="rId11" Type="http://schemas.openxmlformats.org/officeDocument/2006/relationships/hyperlink" Target="https://xbrl.efrag.org/e-esrs/2024-12-17-efrag-vsme.xhtml" TargetMode="External"/><Relationship Id="rId5" Type="http://schemas.openxmlformats.org/officeDocument/2006/relationships/hyperlink" Target="https://xbrl.efrag.org/e-esrs/2024-12-17-efrag-vsme.xhtml" TargetMode="External"/><Relationship Id="rId15" Type="http://schemas.openxmlformats.org/officeDocument/2006/relationships/hyperlink" Target="https://xbrl.efrag.org/e-esrs/2024-12-17-efrag-vsme.xhtml" TargetMode="External"/><Relationship Id="rId10" Type="http://schemas.openxmlformats.org/officeDocument/2006/relationships/hyperlink" Target="https://xbrl.efrag.org/e-esrs/2024-12-17-efrag-vsme.xhtml" TargetMode="External"/><Relationship Id="rId19" Type="http://schemas.openxmlformats.org/officeDocument/2006/relationships/drawing" Target="../drawings/drawing5.xml"/><Relationship Id="rId4" Type="http://schemas.openxmlformats.org/officeDocument/2006/relationships/hyperlink" Target="https://xbrl.efrag.org/e-esrs/2024-12-17-efrag-vsme.xhtml" TargetMode="External"/><Relationship Id="rId9" Type="http://schemas.openxmlformats.org/officeDocument/2006/relationships/hyperlink" Target="https://xbrl.efrag.org/e-esrs/2024-12-17-efrag-vsme.xhtml" TargetMode="External"/><Relationship Id="rId14" Type="http://schemas.openxmlformats.org/officeDocument/2006/relationships/hyperlink" Target="https://xbrl.efrag.org/e-esrs/2024-12-17-efrag-vsme.xhtml"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chrome-extension://efaidnbmnnnibpcajpcglclefindmkaj/https:/www.bhel.com/sites/default/files/gas-properties-cog-1580716150.pdf" TargetMode="External"/><Relationship Id="rId13" Type="http://schemas.openxmlformats.org/officeDocument/2006/relationships/hyperlink" Target="https://osf.io/s2qbt" TargetMode="External"/><Relationship Id="rId18" Type="http://schemas.openxmlformats.org/officeDocument/2006/relationships/hyperlink" Target="http://www.ipcc-nggip.iges.or.jp/efdb/find_ef_ft.php" TargetMode="External"/><Relationship Id="rId3" Type="http://schemas.openxmlformats.org/officeDocument/2006/relationships/hyperlink" Target="https://atdmco.com/wiki-density-of-bitumen/" TargetMode="External"/><Relationship Id="rId21" Type="http://schemas.openxmlformats.org/officeDocument/2006/relationships/hyperlink" Target="https://www.engineeringtoolbox.com/fuels-higher-calorific-values-d_169.html" TargetMode="External"/><Relationship Id="rId7" Type="http://schemas.openxmlformats.org/officeDocument/2006/relationships/hyperlink" Target="https://op.europa.eu/en/publication-detail/-/publication/eaa047e8-644c-4149-bdcb-9dde79c64a12" TargetMode="External"/><Relationship Id="rId12" Type="http://schemas.openxmlformats.org/officeDocument/2006/relationships/hyperlink" Target="https://www.researchgate.net/figure/Density-and-viscosity-of-shale-oil-in-Lucaogou-Formation-Jimsar-Sag_tbl1_336793871" TargetMode="External"/><Relationship Id="rId17" Type="http://schemas.openxmlformats.org/officeDocument/2006/relationships/hyperlink" Target="https://eippcb.jrc.ec.europa.eu/sites/default/files/2020-03/superseded_ref_bref-0203.pdf" TargetMode="External"/><Relationship Id="rId2" Type="http://schemas.openxmlformats.org/officeDocument/2006/relationships/hyperlink" Target="https://www.engineeringtoolbox.com/gasoline-density-specific-heat-dynamic-kinematic-viscosity-thermal-conductivity-vs-temperature-d_2224.html" TargetMode="External"/><Relationship Id="rId16" Type="http://schemas.openxmlformats.org/officeDocument/2006/relationships/hyperlink" Target="https://www.engineeringtoolbox.com/propane-C3H8-density-specific-weight-temperature-pressure-d_2033.html?vA=15&amp;degree" TargetMode="External"/><Relationship Id="rId20" Type="http://schemas.openxmlformats.org/officeDocument/2006/relationships/hyperlink" Target="https://iopscience.iop.org/article/10.1088/1757-899X/912/4/042075" TargetMode="External"/><Relationship Id="rId1" Type="http://schemas.openxmlformats.org/officeDocument/2006/relationships/hyperlink" Target="chrome-extension://efaidnbmnnnibpcajpcglclefindmkaj/https:/cdn.cdp.net/cdp-production/cms/guidance_docs/pdfs/000/000/477/original/CDP-Conversion-of-fuel-data-to-MWh.pdf?1479755175" TargetMode="External"/><Relationship Id="rId6" Type="http://schemas.openxmlformats.org/officeDocument/2006/relationships/hyperlink" Target="http://cyyenergy.com/en/Products/info_itemid_138.html" TargetMode="External"/><Relationship Id="rId11" Type="http://schemas.openxmlformats.org/officeDocument/2006/relationships/hyperlink" Target="https://eur-lex.europa.eu/eli/reg_impl/2018/2066/oj/eng" TargetMode="External"/><Relationship Id="rId24" Type="http://schemas.openxmlformats.org/officeDocument/2006/relationships/hyperlink" Target="https://www.shell.com/business-customers/chemicals/our-products/solvents-hydrocarbon/special-boiling-point-solvents/sbp-140-165.html." TargetMode="External"/><Relationship Id="rId5" Type="http://schemas.openxmlformats.org/officeDocument/2006/relationships/hyperlink" Target="https://www.energuide.be/en/questions-answers/what-is-the-calorific-value-of-gas/9655/" TargetMode="External"/><Relationship Id="rId15" Type="http://schemas.openxmlformats.org/officeDocument/2006/relationships/hyperlink" Target="https://op.europa.eu/en/publication-detail/-/publication/eaa047e8-644c-4149-bdcb-9dde79c64a12" TargetMode="External"/><Relationship Id="rId23" Type="http://schemas.openxmlformats.org/officeDocument/2006/relationships/hyperlink" Target="https://www.mdpi.com/2673-5628/5/1/6;" TargetMode="External"/><Relationship Id="rId10" Type="http://schemas.openxmlformats.org/officeDocument/2006/relationships/hyperlink" Target="https://www.exxonmobil.com/en-bd/commercial-fuel/pds/gl-xx-jetfuel-series" TargetMode="External"/><Relationship Id="rId19" Type="http://schemas.openxmlformats.org/officeDocument/2006/relationships/hyperlink" Target="https://captainslog.gr/wp-content/uploads/2020/12/Sulphite-Lye-Cafn.pdf" TargetMode="External"/><Relationship Id="rId4" Type="http://schemas.openxmlformats.org/officeDocument/2006/relationships/hyperlink" Target="https://engineeringtoolbox.com/gas-density-d_158.html" TargetMode="External"/><Relationship Id="rId9" Type="http://schemas.openxmlformats.org/officeDocument/2006/relationships/hyperlink" Target="https://www.engineeringtoolbox.com/fuels-densities-specific-volumes-d_166.html" TargetMode="External"/><Relationship Id="rId14" Type="http://schemas.openxmlformats.org/officeDocument/2006/relationships/hyperlink" Target="https://archive.epa.gov/emergencies/content/fss/web/pdf/orimuls.pdf" TargetMode="External"/><Relationship Id="rId22" Type="http://schemas.openxmlformats.org/officeDocument/2006/relationships/hyperlink" Target="https://ehs.cranesville.com/msds.pdfs/MSDS(U003).pdf"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R40"/>
  <sheetViews>
    <sheetView showGridLines="0" topLeftCell="A20" zoomScale="70" zoomScaleNormal="60" workbookViewId="0">
      <selection sqref="A1:E40"/>
    </sheetView>
  </sheetViews>
  <sheetFormatPr baseColWidth="10" defaultColWidth="8.875" defaultRowHeight="14.25"/>
  <cols>
    <col min="1" max="1" width="6" customWidth="1"/>
    <col min="2" max="2" width="56" customWidth="1"/>
    <col min="3" max="3" width="56.125" customWidth="1"/>
    <col min="4" max="4" width="69.375" customWidth="1"/>
    <col min="5" max="5" width="33.5" customWidth="1"/>
    <col min="6" max="6" width="42.375" bestFit="1" customWidth="1"/>
    <col min="7" max="7" width="43.5" bestFit="1" customWidth="1"/>
    <col min="8" max="8" width="48.875" bestFit="1" customWidth="1"/>
    <col min="9" max="9" width="38.5" customWidth="1"/>
    <col min="10" max="10" width="45.625" customWidth="1"/>
    <col min="11" max="11" width="29" customWidth="1"/>
    <col min="12" max="12" width="32.5" customWidth="1"/>
    <col min="13" max="13" width="29.5" customWidth="1"/>
    <col min="14" max="14" width="21.5" bestFit="1" customWidth="1"/>
    <col min="15" max="15" width="11.5" customWidth="1"/>
    <col min="16" max="16" width="20.5" bestFit="1" customWidth="1"/>
    <col min="17" max="17" width="14.5" customWidth="1"/>
    <col min="18" max="18" width="14" bestFit="1" customWidth="1"/>
    <col min="21" max="23" width="20.5" bestFit="1" customWidth="1"/>
  </cols>
  <sheetData>
    <row r="1" spans="2:18">
      <c r="B1" s="381" t="s">
        <v>3295</v>
      </c>
      <c r="C1" s="381" t="s">
        <v>4650</v>
      </c>
      <c r="D1" s="381"/>
    </row>
    <row r="2" spans="2:18">
      <c r="B2" s="381" t="s">
        <v>3297</v>
      </c>
      <c r="C2" s="382">
        <v>45824</v>
      </c>
      <c r="D2" s="381"/>
    </row>
    <row r="4" spans="2:18">
      <c r="B4" s="383"/>
    </row>
    <row r="5" spans="2:18">
      <c r="B5" s="383"/>
    </row>
    <row r="6" spans="2:18">
      <c r="B6" s="383"/>
    </row>
    <row r="7" spans="2:18">
      <c r="B7" s="383"/>
    </row>
    <row r="8" spans="2:18">
      <c r="B8" s="383"/>
    </row>
    <row r="9" spans="2:18">
      <c r="B9" s="109" t="s">
        <v>4407</v>
      </c>
      <c r="C9" s="384" t="s">
        <v>4453</v>
      </c>
    </row>
    <row r="10" spans="2:18" s="386" customFormat="1" ht="59.25">
      <c r="B10" s="385" t="s">
        <v>4555</v>
      </c>
    </row>
    <row r="11" spans="2:18" ht="324.60000000000002" customHeight="1">
      <c r="B11" s="469" t="s">
        <v>4557</v>
      </c>
      <c r="C11" s="470"/>
      <c r="D11" s="470"/>
      <c r="E11" s="471"/>
      <c r="F11" s="387"/>
      <c r="G11" s="387"/>
      <c r="H11" s="387"/>
      <c r="I11" s="387"/>
      <c r="J11" s="387"/>
      <c r="K11" s="387"/>
      <c r="L11" s="387"/>
      <c r="M11" s="387"/>
      <c r="N11" s="387"/>
      <c r="O11" s="387"/>
      <c r="P11" s="387"/>
      <c r="Q11" s="387"/>
      <c r="R11" s="387"/>
    </row>
    <row r="12" spans="2:18" ht="19.899999999999999" customHeight="1">
      <c r="B12" s="388"/>
      <c r="C12" s="388"/>
      <c r="D12" s="388"/>
      <c r="E12" s="388"/>
      <c r="F12" s="387"/>
      <c r="G12" s="387"/>
      <c r="H12" s="387"/>
      <c r="I12" s="387"/>
      <c r="J12" s="387"/>
      <c r="K12" s="387"/>
      <c r="L12" s="387"/>
      <c r="M12" s="387"/>
      <c r="N12" s="387"/>
      <c r="O12" s="387"/>
      <c r="P12" s="387"/>
      <c r="Q12" s="387"/>
      <c r="R12" s="387"/>
    </row>
    <row r="13" spans="2:18">
      <c r="B13" s="383"/>
    </row>
    <row r="14" spans="2:18" ht="26.65" customHeight="1">
      <c r="B14" s="389" t="s">
        <v>3296</v>
      </c>
      <c r="C14" s="390"/>
      <c r="D14" s="390"/>
      <c r="E14" s="391"/>
      <c r="F14" s="392"/>
      <c r="G14" s="392"/>
      <c r="H14" s="392"/>
      <c r="I14" s="392"/>
      <c r="J14" s="392"/>
      <c r="K14" s="392"/>
      <c r="L14" s="392"/>
      <c r="M14" s="392"/>
      <c r="N14" s="392"/>
      <c r="O14" s="392"/>
      <c r="P14" s="392"/>
      <c r="Q14" s="392"/>
      <c r="R14" s="392"/>
    </row>
    <row r="15" spans="2:18" ht="18">
      <c r="B15" s="457" t="s">
        <v>4284</v>
      </c>
      <c r="C15" s="458"/>
      <c r="D15" s="458"/>
      <c r="E15" s="459"/>
      <c r="F15" s="393"/>
      <c r="G15" s="393"/>
      <c r="H15" s="393"/>
      <c r="I15" s="393"/>
      <c r="J15" s="393"/>
      <c r="K15" s="393"/>
      <c r="L15" s="393"/>
      <c r="M15" s="393"/>
      <c r="N15" s="393"/>
      <c r="O15" s="393"/>
      <c r="P15" s="393"/>
      <c r="Q15" s="393"/>
      <c r="R15" s="393"/>
    </row>
    <row r="16" spans="2:18" ht="36.6" customHeight="1">
      <c r="B16" s="457" t="s">
        <v>4556</v>
      </c>
      <c r="C16" s="458"/>
      <c r="D16" s="458"/>
      <c r="E16" s="459"/>
      <c r="F16" s="393"/>
      <c r="G16" s="393"/>
      <c r="H16" s="393"/>
      <c r="I16" s="393"/>
      <c r="J16" s="393"/>
      <c r="K16" s="393"/>
      <c r="L16" s="393"/>
      <c r="M16" s="393"/>
      <c r="N16" s="393"/>
      <c r="O16" s="393"/>
      <c r="P16" s="393"/>
      <c r="Q16" s="393"/>
      <c r="R16" s="393"/>
    </row>
    <row r="17" spans="1:18" ht="39.6" customHeight="1">
      <c r="B17" s="460" t="s">
        <v>4638</v>
      </c>
      <c r="C17" s="461"/>
      <c r="D17" s="461"/>
      <c r="E17" s="462"/>
      <c r="F17" s="394"/>
      <c r="G17" s="394"/>
      <c r="H17" s="394"/>
      <c r="I17" s="394"/>
      <c r="J17" s="394"/>
      <c r="K17" s="394"/>
      <c r="L17" s="394"/>
      <c r="M17" s="394"/>
      <c r="N17" s="394"/>
      <c r="O17" s="394"/>
      <c r="P17" s="394"/>
      <c r="Q17" s="394"/>
      <c r="R17" s="394"/>
    </row>
    <row r="18" spans="1:18" ht="36" customHeight="1">
      <c r="B18" s="457" t="s">
        <v>4486</v>
      </c>
      <c r="C18" s="458"/>
      <c r="D18" s="458"/>
      <c r="E18" s="459"/>
      <c r="F18" s="394"/>
      <c r="G18" s="394"/>
      <c r="H18" s="394"/>
      <c r="I18" s="394"/>
      <c r="J18" s="394"/>
      <c r="K18" s="394"/>
      <c r="L18" s="394"/>
      <c r="M18" s="394"/>
      <c r="N18" s="394"/>
      <c r="O18" s="394"/>
      <c r="P18" s="394"/>
      <c r="Q18" s="394"/>
      <c r="R18" s="394"/>
    </row>
    <row r="19" spans="1:18" s="395" customFormat="1" ht="18">
      <c r="B19" s="460" t="s">
        <v>4283</v>
      </c>
      <c r="C19" s="461"/>
      <c r="D19" s="461"/>
      <c r="E19" s="462"/>
      <c r="F19" s="394"/>
      <c r="G19" s="394"/>
      <c r="H19" s="394"/>
      <c r="I19" s="394"/>
      <c r="J19" s="394"/>
      <c r="K19" s="394"/>
      <c r="L19" s="394"/>
      <c r="M19" s="394"/>
      <c r="N19" s="394"/>
      <c r="O19" s="394"/>
      <c r="P19" s="394"/>
      <c r="Q19" s="394"/>
      <c r="R19" s="394"/>
    </row>
    <row r="20" spans="1:18" ht="18">
      <c r="B20" s="460" t="s">
        <v>3839</v>
      </c>
      <c r="C20" s="461"/>
      <c r="D20" s="461"/>
      <c r="E20" s="462"/>
      <c r="F20" s="394"/>
      <c r="G20" s="394"/>
      <c r="H20" s="394"/>
      <c r="I20" s="394"/>
      <c r="J20" s="394"/>
      <c r="K20" s="394"/>
      <c r="L20" s="394"/>
      <c r="M20" s="394"/>
      <c r="N20" s="394"/>
      <c r="O20" s="394"/>
      <c r="P20" s="394"/>
      <c r="Q20" s="394"/>
      <c r="R20" s="394"/>
    </row>
    <row r="21" spans="1:18" ht="24.6" customHeight="1">
      <c r="B21" s="472" t="s">
        <v>3840</v>
      </c>
      <c r="C21" s="473"/>
      <c r="D21" s="473"/>
      <c r="E21" s="474"/>
      <c r="F21" s="394"/>
      <c r="G21" s="394"/>
      <c r="H21" s="394"/>
      <c r="I21" s="394"/>
      <c r="J21" s="394"/>
      <c r="K21" s="394"/>
      <c r="L21" s="394"/>
      <c r="M21" s="394"/>
      <c r="N21" s="394"/>
      <c r="O21" s="394"/>
      <c r="P21" s="394"/>
      <c r="Q21" s="394"/>
      <c r="R21" s="394"/>
    </row>
    <row r="22" spans="1:18" ht="18">
      <c r="B22" s="392"/>
      <c r="C22" s="392"/>
      <c r="D22" s="392"/>
      <c r="E22" s="392"/>
      <c r="F22" s="392"/>
      <c r="G22" s="392"/>
      <c r="H22" s="392"/>
      <c r="I22" s="392"/>
      <c r="J22" s="392"/>
      <c r="K22" s="392"/>
      <c r="L22" s="392"/>
      <c r="M22" s="392"/>
      <c r="N22" s="392"/>
      <c r="O22" s="392"/>
      <c r="P22" s="392"/>
      <c r="Q22" s="392"/>
      <c r="R22" s="392"/>
    </row>
    <row r="23" spans="1:18" ht="36" customHeight="1">
      <c r="B23" s="396" t="s">
        <v>3301</v>
      </c>
      <c r="C23" s="392"/>
      <c r="D23" s="392"/>
      <c r="E23" s="392"/>
      <c r="F23" s="392"/>
      <c r="G23" s="392"/>
      <c r="H23" s="392"/>
      <c r="I23" s="392"/>
      <c r="J23" s="392"/>
      <c r="K23" s="392"/>
      <c r="L23" s="392"/>
      <c r="M23" s="392"/>
      <c r="N23" s="392"/>
      <c r="O23" s="392"/>
      <c r="P23" s="392"/>
      <c r="Q23" s="392"/>
      <c r="R23" s="392"/>
    </row>
    <row r="24" spans="1:18" ht="32.1" customHeight="1">
      <c r="B24" s="397" t="s">
        <v>3627</v>
      </c>
      <c r="C24" s="466" t="s">
        <v>3628</v>
      </c>
      <c r="D24" s="467"/>
      <c r="E24" s="468"/>
      <c r="F24" s="392"/>
      <c r="G24" s="392"/>
      <c r="H24" s="392"/>
      <c r="I24" s="392"/>
      <c r="J24" s="392"/>
      <c r="K24" s="392"/>
      <c r="L24" s="392"/>
      <c r="M24" s="392"/>
      <c r="N24" s="392"/>
      <c r="O24" s="392"/>
      <c r="P24" s="392"/>
      <c r="Q24" s="392"/>
      <c r="R24" s="392"/>
    </row>
    <row r="25" spans="1:18" ht="34.5" customHeight="1">
      <c r="A25" s="398"/>
      <c r="B25" s="399" t="s">
        <v>3298</v>
      </c>
      <c r="C25" s="466" t="s">
        <v>3626</v>
      </c>
      <c r="D25" s="467"/>
      <c r="E25" s="468"/>
      <c r="F25" s="392"/>
      <c r="G25" s="400"/>
      <c r="H25" s="400"/>
      <c r="I25" s="400"/>
      <c r="J25" s="400"/>
      <c r="K25" s="400"/>
      <c r="L25" s="400"/>
      <c r="M25" s="400"/>
      <c r="N25" s="400"/>
      <c r="O25" s="400"/>
      <c r="P25" s="400"/>
      <c r="Q25" s="400"/>
      <c r="R25" s="400"/>
    </row>
    <row r="26" spans="1:18" ht="35.65" customHeight="1">
      <c r="A26" s="398"/>
      <c r="B26" s="401" t="s">
        <v>3299</v>
      </c>
      <c r="C26" s="466" t="s">
        <v>3625</v>
      </c>
      <c r="D26" s="467"/>
      <c r="E26" s="468"/>
      <c r="F26" s="392"/>
      <c r="G26" s="400"/>
      <c r="H26" s="400"/>
      <c r="I26" s="400"/>
      <c r="J26" s="400"/>
      <c r="K26" s="400"/>
      <c r="L26" s="400"/>
      <c r="M26" s="400"/>
      <c r="N26" s="400"/>
      <c r="O26" s="400"/>
      <c r="P26" s="400"/>
      <c r="Q26" s="400"/>
      <c r="R26" s="400"/>
    </row>
    <row r="27" spans="1:18" ht="35.85" customHeight="1">
      <c r="A27" s="398"/>
      <c r="B27" s="402"/>
      <c r="C27" s="463" t="s">
        <v>4639</v>
      </c>
      <c r="D27" s="464"/>
      <c r="E27" s="465"/>
      <c r="F27" s="392"/>
      <c r="G27" s="403"/>
      <c r="H27" s="403"/>
      <c r="I27" s="403"/>
      <c r="J27" s="403"/>
      <c r="K27" s="403"/>
      <c r="L27" s="403"/>
      <c r="M27" s="403"/>
      <c r="N27" s="403"/>
      <c r="O27" s="403"/>
      <c r="P27" s="403"/>
      <c r="Q27" s="403"/>
      <c r="R27" s="403"/>
    </row>
    <row r="28" spans="1:18" ht="63" customHeight="1">
      <c r="A28" s="398"/>
      <c r="B28" s="404"/>
      <c r="C28" s="463" t="s">
        <v>4342</v>
      </c>
      <c r="D28" s="464"/>
      <c r="E28" s="465"/>
      <c r="F28" s="392"/>
      <c r="G28" s="403"/>
      <c r="H28" s="403"/>
      <c r="I28" s="403"/>
      <c r="J28" s="403"/>
      <c r="K28" s="403"/>
      <c r="L28" s="403"/>
      <c r="M28" s="403"/>
      <c r="N28" s="403"/>
      <c r="O28" s="403"/>
      <c r="P28" s="403"/>
      <c r="Q28" s="403"/>
      <c r="R28" s="403"/>
    </row>
    <row r="29" spans="1:18" ht="35.85" customHeight="1">
      <c r="A29" s="398"/>
      <c r="B29" s="405"/>
      <c r="C29" s="463" t="s">
        <v>3796</v>
      </c>
      <c r="D29" s="464"/>
      <c r="E29" s="465"/>
      <c r="F29" s="392"/>
      <c r="G29" s="403"/>
      <c r="H29" s="403"/>
      <c r="I29" s="403"/>
      <c r="J29" s="403"/>
      <c r="K29" s="403"/>
      <c r="L29" s="403"/>
      <c r="M29" s="403"/>
      <c r="N29" s="403"/>
      <c r="O29" s="403"/>
      <c r="P29" s="403"/>
      <c r="Q29" s="403"/>
      <c r="R29" s="403"/>
    </row>
    <row r="30" spans="1:18" ht="40.5">
      <c r="B30" s="406" t="s">
        <v>4640</v>
      </c>
      <c r="C30" s="466" t="s">
        <v>3736</v>
      </c>
      <c r="D30" s="467"/>
      <c r="E30" s="468"/>
      <c r="F30" s="392"/>
      <c r="G30" s="400"/>
      <c r="H30" s="400"/>
      <c r="I30" s="400"/>
      <c r="J30" s="400"/>
      <c r="K30" s="400"/>
      <c r="L30" s="400"/>
      <c r="M30" s="400"/>
      <c r="N30" s="400"/>
      <c r="O30" s="400"/>
      <c r="P30" s="400"/>
      <c r="Q30" s="400"/>
      <c r="R30" s="400"/>
    </row>
    <row r="31" spans="1:18" ht="22.35" customHeight="1">
      <c r="B31" s="407" t="s">
        <v>3300</v>
      </c>
      <c r="C31" s="466" t="s">
        <v>3630</v>
      </c>
      <c r="D31" s="467"/>
      <c r="E31" s="468"/>
      <c r="F31" s="392"/>
      <c r="G31" s="400"/>
      <c r="H31" s="400"/>
      <c r="I31" s="400"/>
      <c r="J31" s="400"/>
      <c r="K31" s="400"/>
      <c r="L31" s="400"/>
      <c r="M31" s="400"/>
      <c r="N31" s="400"/>
      <c r="O31" s="400"/>
      <c r="P31" s="400"/>
      <c r="Q31" s="400"/>
      <c r="R31" s="400"/>
    </row>
    <row r="32" spans="1:18" ht="22.35" customHeight="1">
      <c r="B32" s="408"/>
      <c r="C32" s="466" t="s">
        <v>3793</v>
      </c>
      <c r="D32" s="467"/>
      <c r="E32" s="468"/>
      <c r="F32" s="392"/>
      <c r="G32" s="400"/>
      <c r="H32" s="400"/>
      <c r="I32" s="400"/>
      <c r="J32" s="400"/>
      <c r="K32" s="400"/>
      <c r="L32" s="400"/>
      <c r="M32" s="400"/>
      <c r="N32" s="400"/>
      <c r="O32" s="400"/>
      <c r="P32" s="400"/>
      <c r="Q32" s="400"/>
      <c r="R32" s="400"/>
    </row>
    <row r="33" spans="1:18" ht="45.75" customHeight="1">
      <c r="A33" s="398"/>
      <c r="B33" s="409" t="s">
        <v>3291</v>
      </c>
      <c r="C33" s="463" t="s">
        <v>3737</v>
      </c>
      <c r="D33" s="464"/>
      <c r="E33" s="465"/>
      <c r="F33" s="392"/>
      <c r="G33" s="410"/>
      <c r="H33" s="410"/>
      <c r="I33" s="410"/>
      <c r="J33" s="410"/>
      <c r="K33" s="410"/>
      <c r="L33" s="410"/>
      <c r="M33" s="410"/>
      <c r="N33" s="410"/>
      <c r="O33" s="410"/>
      <c r="P33" s="410"/>
      <c r="Q33" s="410"/>
      <c r="R33" s="410"/>
    </row>
    <row r="38" spans="1:18">
      <c r="B38" s="454"/>
      <c r="C38" s="455"/>
      <c r="D38" s="455"/>
      <c r="E38" s="456"/>
    </row>
    <row r="39" spans="1:18" ht="97.15" customHeight="1">
      <c r="B39" s="448" t="s">
        <v>3643</v>
      </c>
      <c r="C39" s="449"/>
      <c r="D39" s="449"/>
      <c r="E39" s="450"/>
    </row>
    <row r="40" spans="1:18" ht="20.25">
      <c r="B40" s="451" t="s">
        <v>3642</v>
      </c>
      <c r="C40" s="452"/>
      <c r="D40" s="452"/>
      <c r="E40" s="453"/>
    </row>
  </sheetData>
  <sheetProtection algorithmName="SHA-512" hashValue="92QoQ+C+dwXGNe0sYW3m3ELzyWZxwhMAYjW5aW0FRUgiIPNZTDZ1Ck+ZwDGhylRMG9LM1k371nDoSriU310QWg==" saltValue="nkmKc7APanKyYKQ3a4lZZg==" spinCount="100000" sheet="1" objects="1" scenarios="1" formatColumns="0" formatRows="0"/>
  <mergeCells count="21">
    <mergeCell ref="B11:E11"/>
    <mergeCell ref="B15:E15"/>
    <mergeCell ref="C29:E29"/>
    <mergeCell ref="C33:E33"/>
    <mergeCell ref="C32:E32"/>
    <mergeCell ref="C31:E31"/>
    <mergeCell ref="C30:E30"/>
    <mergeCell ref="B21:E21"/>
    <mergeCell ref="B39:E39"/>
    <mergeCell ref="B40:E40"/>
    <mergeCell ref="B38:E38"/>
    <mergeCell ref="B16:E16"/>
    <mergeCell ref="B17:E17"/>
    <mergeCell ref="B18:E18"/>
    <mergeCell ref="B19:E19"/>
    <mergeCell ref="B20:E20"/>
    <mergeCell ref="C28:E28"/>
    <mergeCell ref="C27:E27"/>
    <mergeCell ref="C24:E24"/>
    <mergeCell ref="C25:E25"/>
    <mergeCell ref="C26:E26"/>
  </mergeCells>
  <phoneticPr fontId="3" type="noConversion"/>
  <hyperlinks>
    <hyperlink ref="C9" r:id="rId1"/>
  </hyperlinks>
  <pageMargins left="0.25" right="0.25" top="0.75" bottom="0.75" header="0.3" footer="0.3"/>
  <pageSetup paperSize="9" scale="30" fitToWidth="0" fitToHeight="0"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workbookViewId="0"/>
  </sheetViews>
  <sheetFormatPr baseColWidth="10" defaultColWidth="8.875" defaultRowHeight="14.25"/>
  <cols>
    <col min="1" max="1" width="78.375" style="10" customWidth="1"/>
    <col min="2" max="16384" width="8.875" style="10"/>
  </cols>
  <sheetData>
    <row r="1" spans="1:1">
      <c r="A1" s="290" t="s">
        <v>4527</v>
      </c>
    </row>
    <row r="2" spans="1:1">
      <c r="A2" s="291"/>
    </row>
    <row r="3" spans="1:1">
      <c r="A3" s="291" t="s">
        <v>4528</v>
      </c>
    </row>
    <row r="4" spans="1:1">
      <c r="A4" s="291"/>
    </row>
    <row r="5" spans="1:1">
      <c r="A5" s="291" t="s">
        <v>4529</v>
      </c>
    </row>
    <row r="6" spans="1:1">
      <c r="A6" s="291" t="s">
        <v>4530</v>
      </c>
    </row>
    <row r="7" spans="1:1">
      <c r="A7" s="291" t="s">
        <v>4531</v>
      </c>
    </row>
    <row r="8" spans="1:1">
      <c r="A8" s="291" t="s">
        <v>4532</v>
      </c>
    </row>
    <row r="9" spans="1:1">
      <c r="A9" s="291" t="s">
        <v>4533</v>
      </c>
    </row>
    <row r="10" spans="1:1">
      <c r="A10" s="291" t="s">
        <v>4534</v>
      </c>
    </row>
    <row r="11" spans="1:1">
      <c r="A11" s="291"/>
    </row>
    <row r="12" spans="1:1">
      <c r="A12" s="291" t="s">
        <v>4535</v>
      </c>
    </row>
    <row r="13" spans="1:1">
      <c r="A13" s="291" t="s">
        <v>4536</v>
      </c>
    </row>
    <row r="14" spans="1:1">
      <c r="A14" s="291"/>
    </row>
    <row r="15" spans="1:1">
      <c r="A15" s="291" t="s">
        <v>4537</v>
      </c>
    </row>
    <row r="16" spans="1:1">
      <c r="A16" s="291" t="s">
        <v>4538</v>
      </c>
    </row>
    <row r="17" spans="1:1">
      <c r="A17" s="291" t="s">
        <v>4539</v>
      </c>
    </row>
    <row r="18" spans="1:1">
      <c r="A18" s="291" t="s">
        <v>4540</v>
      </c>
    </row>
    <row r="19" spans="1:1">
      <c r="A19" s="291" t="s">
        <v>4541</v>
      </c>
    </row>
    <row r="20" spans="1:1">
      <c r="A20" s="291" t="s">
        <v>4542</v>
      </c>
    </row>
    <row r="21" spans="1:1" ht="15" thickBot="1">
      <c r="A21" s="292" t="s">
        <v>4543</v>
      </c>
    </row>
  </sheetData>
  <sheetProtection algorithmName="SHA-512" hashValue="Pzzbhz0TI+fUPcrpxn3iZY+99mdUOgff14EbdwlmQNRaphGItbgk633zAcN8mqzFhKnd4X3FUVcUla+ZOUWbgg==" saltValue="iAzexgvQifpq06z+5VGlB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D1049"/>
  <sheetViews>
    <sheetView zoomScale="80" zoomScaleNormal="80" workbookViewId="0"/>
  </sheetViews>
  <sheetFormatPr baseColWidth="10" defaultColWidth="8.875" defaultRowHeight="14.25"/>
  <cols>
    <col min="1" max="1" width="94.125" customWidth="1"/>
    <col min="2" max="2" width="38.5" bestFit="1" customWidth="1"/>
    <col min="3" max="4" width="150.5" bestFit="1" customWidth="1"/>
    <col min="5" max="5" width="49.5" bestFit="1" customWidth="1"/>
    <col min="6" max="6" width="21.5" bestFit="1" customWidth="1"/>
    <col min="7" max="7" width="21.5" customWidth="1"/>
    <col min="8" max="8" width="92" bestFit="1" customWidth="1"/>
    <col min="9" max="9" width="49.5" bestFit="1" customWidth="1"/>
    <col min="10" max="10" width="44.5" customWidth="1"/>
    <col min="11" max="11" width="99.625" customWidth="1"/>
    <col min="12" max="12" width="48.5" bestFit="1" customWidth="1"/>
    <col min="13" max="13" width="20.5" bestFit="1" customWidth="1"/>
    <col min="14" max="14" width="18" bestFit="1" customWidth="1"/>
    <col min="15" max="15" width="30.5" bestFit="1" customWidth="1"/>
    <col min="16" max="16" width="26.5" bestFit="1" customWidth="1"/>
    <col min="17" max="17" width="10.5" customWidth="1"/>
    <col min="18" max="18" width="13.5" bestFit="1" customWidth="1"/>
    <col min="20" max="20" width="9.625" bestFit="1" customWidth="1"/>
    <col min="21" max="21" width="43.375" bestFit="1" customWidth="1"/>
    <col min="22" max="22" width="92" bestFit="1" customWidth="1"/>
    <col min="23" max="23" width="12.625" bestFit="1" customWidth="1"/>
    <col min="25" max="25" width="31.5" customWidth="1"/>
    <col min="26" max="26" width="255.5" bestFit="1" customWidth="1"/>
    <col min="27" max="27" width="17.5" customWidth="1"/>
    <col min="28" max="28" width="28.625" customWidth="1"/>
    <col min="29" max="29" width="23.25" customWidth="1"/>
    <col min="30" max="30" width="17.75" customWidth="1"/>
  </cols>
  <sheetData>
    <row r="1" spans="1:30" ht="72">
      <c r="A1" s="369" t="s">
        <v>4361</v>
      </c>
      <c r="B1" s="370" t="s">
        <v>54</v>
      </c>
      <c r="C1" s="371" t="s">
        <v>4260</v>
      </c>
      <c r="D1" s="370" t="s">
        <v>2676</v>
      </c>
      <c r="E1" s="6" t="s">
        <v>55</v>
      </c>
      <c r="F1" s="6" t="s">
        <v>56</v>
      </c>
      <c r="G1" s="6" t="s">
        <v>2678</v>
      </c>
      <c r="H1" s="6" t="s">
        <v>3775</v>
      </c>
      <c r="I1" s="346" t="s">
        <v>4648</v>
      </c>
      <c r="J1" s="346" t="s">
        <v>2750</v>
      </c>
      <c r="K1" s="346" t="s">
        <v>4649</v>
      </c>
      <c r="L1" s="6" t="s">
        <v>2776</v>
      </c>
      <c r="M1" s="6" t="s">
        <v>2777</v>
      </c>
      <c r="N1" s="6" t="s">
        <v>21</v>
      </c>
      <c r="O1" s="6" t="s">
        <v>3304</v>
      </c>
      <c r="P1" s="6" t="s">
        <v>3368</v>
      </c>
      <c r="Q1" s="346" t="s">
        <v>3621</v>
      </c>
      <c r="R1" s="6" t="s">
        <v>3302</v>
      </c>
      <c r="S1" s="6" t="s">
        <v>3751</v>
      </c>
      <c r="T1" s="6" t="s">
        <v>3752</v>
      </c>
      <c r="U1" s="6" t="s">
        <v>3773</v>
      </c>
      <c r="V1" s="6" t="s">
        <v>3776</v>
      </c>
      <c r="W1" s="6" t="s">
        <v>3794</v>
      </c>
      <c r="X1" s="6" t="s">
        <v>3752</v>
      </c>
      <c r="Y1" s="372" t="s">
        <v>3803</v>
      </c>
      <c r="Z1" s="373" t="s">
        <v>3841</v>
      </c>
      <c r="AA1" s="372" t="s">
        <v>4343</v>
      </c>
      <c r="AB1" s="374" t="s">
        <v>3844</v>
      </c>
      <c r="AC1" s="11" t="s">
        <v>4478</v>
      </c>
      <c r="AD1" s="11" t="s">
        <v>4480</v>
      </c>
    </row>
    <row r="2" spans="1:30">
      <c r="A2" s="375" t="s">
        <v>57</v>
      </c>
      <c r="B2" t="s">
        <v>2667</v>
      </c>
      <c r="C2" s="376" t="s">
        <v>3863</v>
      </c>
      <c r="D2" t="str">
        <f t="shared" ref="D2:D65" si="0">_xlfn.CONCAT("NACE ", A2)</f>
        <v>NACE All Economic Activities (NACE) / NA [member]</v>
      </c>
      <c r="E2" s="377" t="s">
        <v>58</v>
      </c>
      <c r="F2" t="s">
        <v>59</v>
      </c>
      <c r="G2" t="str">
        <f>RIGHT(F2,2)</f>
        <v>AD</v>
      </c>
      <c r="H2" t="s">
        <v>2677</v>
      </c>
      <c r="I2" t="s">
        <v>2749</v>
      </c>
      <c r="J2" t="s">
        <v>2751</v>
      </c>
      <c r="K2" s="39" t="s">
        <v>2753</v>
      </c>
      <c r="L2" t="s">
        <v>2772</v>
      </c>
      <c r="M2" t="s">
        <v>2778</v>
      </c>
      <c r="N2" t="s">
        <v>3288</v>
      </c>
      <c r="O2" t="s">
        <v>3305</v>
      </c>
      <c r="P2" t="s">
        <v>4333</v>
      </c>
      <c r="Q2" t="s">
        <v>3622</v>
      </c>
      <c r="R2" t="s">
        <v>2664</v>
      </c>
      <c r="S2">
        <v>2000</v>
      </c>
      <c r="T2">
        <v>1</v>
      </c>
      <c r="U2" t="s">
        <v>4363</v>
      </c>
      <c r="V2" t="s">
        <v>2668</v>
      </c>
      <c r="W2" s="378">
        <v>1</v>
      </c>
      <c r="X2" t="s">
        <v>3753</v>
      </c>
      <c r="Y2" t="s">
        <v>2778</v>
      </c>
      <c r="Z2" s="39" t="s">
        <v>2753</v>
      </c>
      <c r="AA2" t="s">
        <v>4653</v>
      </c>
      <c r="AB2" s="2" t="s">
        <v>3845</v>
      </c>
      <c r="AC2">
        <v>1</v>
      </c>
      <c r="AD2" t="s">
        <v>4481</v>
      </c>
    </row>
    <row r="3" spans="1:30" ht="28.5">
      <c r="A3" s="377" t="s">
        <v>60</v>
      </c>
      <c r="B3" t="s">
        <v>61</v>
      </c>
      <c r="C3" s="379" t="s">
        <v>3864</v>
      </c>
      <c r="D3" s="377" t="str">
        <f t="shared" si="0"/>
        <v>NACE A - AGRICULTURE, FORESTRY AND FISHING</v>
      </c>
      <c r="E3" s="377" t="s">
        <v>62</v>
      </c>
      <c r="F3" t="s">
        <v>63</v>
      </c>
      <c r="G3" t="str">
        <f t="shared" ref="G3:G66" si="1">RIGHT(F3,2)</f>
        <v>AE</v>
      </c>
      <c r="H3" t="s">
        <v>2668</v>
      </c>
      <c r="I3" t="s">
        <v>2748</v>
      </c>
      <c r="J3" t="s">
        <v>2752</v>
      </c>
      <c r="K3" t="s">
        <v>3173</v>
      </c>
      <c r="L3" t="s">
        <v>2675</v>
      </c>
      <c r="M3" t="s">
        <v>2782</v>
      </c>
      <c r="N3" t="s">
        <v>3289</v>
      </c>
      <c r="O3" t="s">
        <v>3306</v>
      </c>
      <c r="P3" t="s">
        <v>4335</v>
      </c>
      <c r="Q3" t="s">
        <v>3623</v>
      </c>
      <c r="R3" t="s">
        <v>2665</v>
      </c>
      <c r="S3">
        <v>2001</v>
      </c>
      <c r="T3">
        <v>2</v>
      </c>
      <c r="U3" t="s">
        <v>3772</v>
      </c>
      <c r="V3" t="s">
        <v>2669</v>
      </c>
      <c r="W3" s="378">
        <v>2</v>
      </c>
      <c r="X3" t="s">
        <v>3754</v>
      </c>
      <c r="Y3" t="s">
        <v>2782</v>
      </c>
      <c r="Z3" t="s">
        <v>3173</v>
      </c>
      <c r="AA3" t="s">
        <v>4654</v>
      </c>
      <c r="AB3" s="2" t="s">
        <v>3846</v>
      </c>
      <c r="AC3">
        <v>2</v>
      </c>
      <c r="AD3" t="s">
        <v>4482</v>
      </c>
    </row>
    <row r="4" spans="1:30">
      <c r="A4" s="376" t="s">
        <v>64</v>
      </c>
      <c r="B4" t="s">
        <v>65</v>
      </c>
      <c r="C4" s="379" t="s">
        <v>3865</v>
      </c>
      <c r="D4" s="376" t="str">
        <f t="shared" si="0"/>
        <v>NACE A - 01 Crop and animal production, hunting and related service activities</v>
      </c>
      <c r="E4" s="377" t="s">
        <v>66</v>
      </c>
      <c r="F4" t="s">
        <v>67</v>
      </c>
      <c r="G4" t="str">
        <f t="shared" si="1"/>
        <v>AF</v>
      </c>
      <c r="H4" t="s">
        <v>2669</v>
      </c>
      <c r="I4" t="s">
        <v>2747</v>
      </c>
      <c r="K4" t="s">
        <v>3620</v>
      </c>
      <c r="L4" t="s">
        <v>2773</v>
      </c>
      <c r="M4" t="s">
        <v>4334</v>
      </c>
      <c r="N4" t="s">
        <v>3290</v>
      </c>
      <c r="O4" t="s">
        <v>3307</v>
      </c>
      <c r="R4" t="s">
        <v>3624</v>
      </c>
      <c r="S4">
        <v>2002</v>
      </c>
      <c r="T4">
        <v>3</v>
      </c>
      <c r="V4" t="s">
        <v>2670</v>
      </c>
      <c r="W4" s="378">
        <v>3</v>
      </c>
      <c r="X4" t="s">
        <v>3755</v>
      </c>
      <c r="Z4" t="s">
        <v>3174</v>
      </c>
      <c r="AA4" t="s">
        <v>4655</v>
      </c>
      <c r="AC4">
        <v>3</v>
      </c>
      <c r="AD4" t="s">
        <v>4483</v>
      </c>
    </row>
    <row r="5" spans="1:30">
      <c r="A5" s="379" t="s">
        <v>68</v>
      </c>
      <c r="B5" t="s">
        <v>69</v>
      </c>
      <c r="C5" s="379" t="s">
        <v>3866</v>
      </c>
      <c r="D5" s="379" t="str">
        <f t="shared" si="0"/>
        <v>NACE A - 01.1 Growing of non-perennial crops</v>
      </c>
      <c r="E5" s="377" t="s">
        <v>70</v>
      </c>
      <c r="F5" t="s">
        <v>71</v>
      </c>
      <c r="G5" t="str">
        <f t="shared" si="1"/>
        <v>AG</v>
      </c>
      <c r="H5" t="s">
        <v>2670</v>
      </c>
      <c r="I5" t="s">
        <v>2746</v>
      </c>
      <c r="K5" t="s">
        <v>2786</v>
      </c>
      <c r="L5" t="s">
        <v>2774</v>
      </c>
      <c r="O5" t="s">
        <v>3308</v>
      </c>
      <c r="S5">
        <v>2003</v>
      </c>
      <c r="T5">
        <v>4</v>
      </c>
      <c r="V5" t="s">
        <v>19</v>
      </c>
      <c r="W5" s="378">
        <v>4</v>
      </c>
      <c r="X5" t="s">
        <v>3756</v>
      </c>
      <c r="Z5" t="s">
        <v>3175</v>
      </c>
      <c r="AA5" t="s">
        <v>4656</v>
      </c>
      <c r="AC5">
        <v>4</v>
      </c>
      <c r="AD5" t="s">
        <v>4484</v>
      </c>
    </row>
    <row r="6" spans="1:30">
      <c r="A6" s="380" t="s">
        <v>72</v>
      </c>
      <c r="B6" t="s">
        <v>73</v>
      </c>
      <c r="C6" s="379" t="s">
        <v>3867</v>
      </c>
      <c r="D6" s="380" t="str">
        <f t="shared" si="0"/>
        <v>NACE A - 01.11 Growing of cereals, other than rice, leguminous crops and oil seeds</v>
      </c>
      <c r="E6" s="377" t="s">
        <v>74</v>
      </c>
      <c r="F6" t="s">
        <v>75</v>
      </c>
      <c r="G6" t="str">
        <f t="shared" si="1"/>
        <v>AI</v>
      </c>
      <c r="H6" t="s">
        <v>19</v>
      </c>
      <c r="I6" t="s">
        <v>4261</v>
      </c>
      <c r="K6" t="s">
        <v>3174</v>
      </c>
      <c r="L6" t="s">
        <v>2775</v>
      </c>
      <c r="O6" t="s">
        <v>3309</v>
      </c>
      <c r="S6">
        <v>2004</v>
      </c>
      <c r="T6">
        <v>5</v>
      </c>
      <c r="V6" t="s">
        <v>2671</v>
      </c>
      <c r="W6" s="378">
        <v>5</v>
      </c>
      <c r="X6" t="s">
        <v>3757</v>
      </c>
      <c r="Z6" t="s">
        <v>3176</v>
      </c>
      <c r="AA6" t="s">
        <v>4657</v>
      </c>
      <c r="AC6">
        <v>5</v>
      </c>
    </row>
    <row r="7" spans="1:30">
      <c r="A7" s="380" t="s">
        <v>76</v>
      </c>
      <c r="B7" t="s">
        <v>77</v>
      </c>
      <c r="C7" s="379" t="s">
        <v>3868</v>
      </c>
      <c r="D7" s="380" t="str">
        <f t="shared" si="0"/>
        <v>NACE A - 01.12 Growing of rice</v>
      </c>
      <c r="E7" s="377" t="s">
        <v>78</v>
      </c>
      <c r="F7" t="s">
        <v>79</v>
      </c>
      <c r="G7" t="str">
        <f t="shared" si="1"/>
        <v>AL</v>
      </c>
      <c r="H7" t="s">
        <v>2671</v>
      </c>
      <c r="I7" t="s">
        <v>2745</v>
      </c>
      <c r="K7" t="s">
        <v>2787</v>
      </c>
      <c r="O7" t="s">
        <v>3310</v>
      </c>
      <c r="S7">
        <v>2005</v>
      </c>
      <c r="T7">
        <v>6</v>
      </c>
      <c r="V7" t="s">
        <v>2672</v>
      </c>
      <c r="W7" s="378">
        <v>6</v>
      </c>
      <c r="X7" t="s">
        <v>3758</v>
      </c>
      <c r="Z7" t="s">
        <v>3177</v>
      </c>
      <c r="AA7" t="s">
        <v>4658</v>
      </c>
      <c r="AC7">
        <v>6</v>
      </c>
    </row>
    <row r="8" spans="1:30">
      <c r="A8" s="380" t="s">
        <v>80</v>
      </c>
      <c r="B8" t="s">
        <v>81</v>
      </c>
      <c r="C8" s="379" t="s">
        <v>3869</v>
      </c>
      <c r="D8" s="380" t="str">
        <f t="shared" si="0"/>
        <v>NACE A - 01.13 Growing of vegetables and melons, roots and tubers</v>
      </c>
      <c r="E8" s="377" t="s">
        <v>82</v>
      </c>
      <c r="F8" t="s">
        <v>83</v>
      </c>
      <c r="G8" t="str">
        <f t="shared" si="1"/>
        <v>AM</v>
      </c>
      <c r="H8" t="s">
        <v>2672</v>
      </c>
      <c r="I8" t="s">
        <v>2744</v>
      </c>
      <c r="K8" t="s">
        <v>2788</v>
      </c>
      <c r="O8" t="s">
        <v>2666</v>
      </c>
      <c r="S8">
        <v>2006</v>
      </c>
      <c r="T8">
        <v>7</v>
      </c>
      <c r="V8" t="s">
        <v>27</v>
      </c>
      <c r="W8" s="378">
        <v>7</v>
      </c>
      <c r="X8" t="s">
        <v>3759</v>
      </c>
      <c r="Z8" t="s">
        <v>2754</v>
      </c>
      <c r="AA8" t="s">
        <v>4659</v>
      </c>
      <c r="AC8">
        <v>7</v>
      </c>
    </row>
    <row r="9" spans="1:30">
      <c r="A9" s="380" t="s">
        <v>84</v>
      </c>
      <c r="B9" t="s">
        <v>85</v>
      </c>
      <c r="C9" s="379" t="s">
        <v>3870</v>
      </c>
      <c r="D9" s="380" t="str">
        <f t="shared" si="0"/>
        <v>NACE A - 01.14 Growing of sugar cane</v>
      </c>
      <c r="E9" s="377" t="s">
        <v>86</v>
      </c>
      <c r="F9" t="s">
        <v>87</v>
      </c>
      <c r="G9" t="str">
        <f t="shared" si="1"/>
        <v>AN</v>
      </c>
      <c r="H9" t="s">
        <v>27</v>
      </c>
      <c r="I9" t="s">
        <v>2743</v>
      </c>
      <c r="K9" t="s">
        <v>3175</v>
      </c>
      <c r="O9" t="s">
        <v>3311</v>
      </c>
      <c r="S9">
        <v>2007</v>
      </c>
      <c r="T9">
        <v>8</v>
      </c>
      <c r="V9" t="s">
        <v>31</v>
      </c>
      <c r="W9" s="378">
        <v>8</v>
      </c>
      <c r="X9" t="s">
        <v>3760</v>
      </c>
      <c r="Z9" t="s">
        <v>3178</v>
      </c>
      <c r="AA9" t="s">
        <v>4660</v>
      </c>
      <c r="AC9">
        <v>8</v>
      </c>
    </row>
    <row r="10" spans="1:30">
      <c r="A10" s="380" t="s">
        <v>88</v>
      </c>
      <c r="B10" t="s">
        <v>89</v>
      </c>
      <c r="C10" s="376" t="s">
        <v>3871</v>
      </c>
      <c r="D10" s="380" t="str">
        <f t="shared" si="0"/>
        <v>NACE A - 01.15 Growing of tobacco</v>
      </c>
      <c r="E10" s="377" t="s">
        <v>90</v>
      </c>
      <c r="F10" t="s">
        <v>91</v>
      </c>
      <c r="G10" t="str">
        <f t="shared" si="1"/>
        <v>AO</v>
      </c>
      <c r="H10" t="s">
        <v>31</v>
      </c>
      <c r="I10" t="s">
        <v>2742</v>
      </c>
      <c r="K10" t="s">
        <v>2789</v>
      </c>
      <c r="O10" t="s">
        <v>3312</v>
      </c>
      <c r="S10">
        <v>2008</v>
      </c>
      <c r="T10">
        <v>9</v>
      </c>
      <c r="V10" t="s">
        <v>42</v>
      </c>
      <c r="W10" s="378">
        <v>9</v>
      </c>
      <c r="X10" t="s">
        <v>3761</v>
      </c>
      <c r="Z10" t="s">
        <v>3179</v>
      </c>
      <c r="AA10" t="s">
        <v>4661</v>
      </c>
      <c r="AC10">
        <v>9</v>
      </c>
    </row>
    <row r="11" spans="1:30">
      <c r="A11" s="380" t="s">
        <v>92</v>
      </c>
      <c r="B11" t="s">
        <v>93</v>
      </c>
      <c r="C11" s="379" t="s">
        <v>3872</v>
      </c>
      <c r="D11" s="380" t="str">
        <f t="shared" si="0"/>
        <v>NACE A - 01.16 Growing of fibre crops</v>
      </c>
      <c r="E11" s="377" t="s">
        <v>94</v>
      </c>
      <c r="F11" t="s">
        <v>95</v>
      </c>
      <c r="G11" t="str">
        <f t="shared" si="1"/>
        <v>AQ</v>
      </c>
      <c r="H11" t="s">
        <v>42</v>
      </c>
      <c r="I11" t="s">
        <v>2741</v>
      </c>
      <c r="K11" t="s">
        <v>2790</v>
      </c>
      <c r="O11" t="s">
        <v>3303</v>
      </c>
      <c r="S11">
        <v>2009</v>
      </c>
      <c r="T11">
        <v>10</v>
      </c>
      <c r="V11" t="s">
        <v>44</v>
      </c>
      <c r="W11" s="378">
        <v>10</v>
      </c>
      <c r="X11" t="s">
        <v>3762</v>
      </c>
      <c r="Z11" t="s">
        <v>3180</v>
      </c>
      <c r="AA11" t="s">
        <v>4662</v>
      </c>
      <c r="AC11">
        <v>10</v>
      </c>
    </row>
    <row r="12" spans="1:30">
      <c r="A12" s="380" t="s">
        <v>96</v>
      </c>
      <c r="B12" t="s">
        <v>97</v>
      </c>
      <c r="C12" s="379" t="s">
        <v>3873</v>
      </c>
      <c r="D12" s="380" t="str">
        <f t="shared" si="0"/>
        <v>NACE A - 01.19 Growing of other non-perennial crops</v>
      </c>
      <c r="E12" s="377" t="s">
        <v>98</v>
      </c>
      <c r="F12" t="s">
        <v>99</v>
      </c>
      <c r="G12" t="str">
        <f t="shared" si="1"/>
        <v>AR</v>
      </c>
      <c r="H12" t="s">
        <v>44</v>
      </c>
      <c r="I12" t="s">
        <v>4262</v>
      </c>
      <c r="K12" t="s">
        <v>2791</v>
      </c>
      <c r="O12" t="s">
        <v>39</v>
      </c>
      <c r="S12">
        <v>2010</v>
      </c>
      <c r="T12">
        <v>11</v>
      </c>
      <c r="V12" t="s">
        <v>51</v>
      </c>
      <c r="W12" s="378">
        <v>11</v>
      </c>
      <c r="X12" t="s">
        <v>3763</v>
      </c>
      <c r="Z12" t="s">
        <v>3181</v>
      </c>
      <c r="AA12" t="s">
        <v>4663</v>
      </c>
      <c r="AC12">
        <v>11</v>
      </c>
    </row>
    <row r="13" spans="1:30">
      <c r="A13" s="379" t="s">
        <v>100</v>
      </c>
      <c r="B13" t="s">
        <v>101</v>
      </c>
      <c r="C13" s="379" t="s">
        <v>3874</v>
      </c>
      <c r="D13" s="379" t="str">
        <f t="shared" si="0"/>
        <v>NACE A - 01.2 Growing of perennial crops</v>
      </c>
      <c r="E13" s="377" t="s">
        <v>102</v>
      </c>
      <c r="F13" t="s">
        <v>103</v>
      </c>
      <c r="G13" t="str">
        <f t="shared" si="1"/>
        <v>AS</v>
      </c>
      <c r="H13" t="s">
        <v>51</v>
      </c>
      <c r="I13" t="s">
        <v>2740</v>
      </c>
      <c r="K13" t="s">
        <v>2792</v>
      </c>
      <c r="S13">
        <v>2011</v>
      </c>
      <c r="T13">
        <v>12</v>
      </c>
      <c r="V13" t="s">
        <v>15</v>
      </c>
      <c r="W13" s="378">
        <v>12</v>
      </c>
      <c r="X13" t="s">
        <v>3764</v>
      </c>
      <c r="Z13" t="s">
        <v>3182</v>
      </c>
      <c r="AA13" t="s">
        <v>4664</v>
      </c>
      <c r="AC13">
        <v>12</v>
      </c>
    </row>
    <row r="14" spans="1:30">
      <c r="A14" s="380" t="s">
        <v>104</v>
      </c>
      <c r="B14" t="s">
        <v>105</v>
      </c>
      <c r="C14" s="379" t="s">
        <v>3875</v>
      </c>
      <c r="D14" s="380" t="str">
        <f t="shared" si="0"/>
        <v>NACE A - 01.21 Growing of grapes</v>
      </c>
      <c r="E14" s="377" t="s">
        <v>106</v>
      </c>
      <c r="F14" t="s">
        <v>107</v>
      </c>
      <c r="G14" t="str">
        <f t="shared" si="1"/>
        <v>AT</v>
      </c>
      <c r="H14" t="s">
        <v>15</v>
      </c>
      <c r="I14" t="s">
        <v>2739</v>
      </c>
      <c r="K14" t="s">
        <v>3176</v>
      </c>
      <c r="S14">
        <v>2012</v>
      </c>
      <c r="V14" t="s">
        <v>2673</v>
      </c>
      <c r="Z14" t="s">
        <v>3183</v>
      </c>
      <c r="AA14" t="s">
        <v>4665</v>
      </c>
      <c r="AC14">
        <v>13</v>
      </c>
    </row>
    <row r="15" spans="1:30">
      <c r="A15" s="380" t="s">
        <v>108</v>
      </c>
      <c r="B15" t="s">
        <v>109</v>
      </c>
      <c r="C15" s="376" t="s">
        <v>3876</v>
      </c>
      <c r="D15" s="380" t="str">
        <f t="shared" si="0"/>
        <v>NACE A - 01.22 Growing of tropical and subtropical fruits</v>
      </c>
      <c r="E15" s="377" t="s">
        <v>110</v>
      </c>
      <c r="F15" t="s">
        <v>111</v>
      </c>
      <c r="G15" t="str">
        <f t="shared" si="1"/>
        <v>AU</v>
      </c>
      <c r="H15" t="s">
        <v>2673</v>
      </c>
      <c r="I15" t="s">
        <v>2738</v>
      </c>
      <c r="K15" t="s">
        <v>2793</v>
      </c>
      <c r="S15">
        <v>2013</v>
      </c>
      <c r="V15" t="s">
        <v>2674</v>
      </c>
      <c r="Z15" t="s">
        <v>3184</v>
      </c>
      <c r="AA15" t="s">
        <v>4666</v>
      </c>
      <c r="AC15">
        <v>14</v>
      </c>
    </row>
    <row r="16" spans="1:30">
      <c r="A16" s="380" t="s">
        <v>112</v>
      </c>
      <c r="B16" t="s">
        <v>113</v>
      </c>
      <c r="C16" s="379" t="s">
        <v>3877</v>
      </c>
      <c r="D16" s="380" t="str">
        <f t="shared" si="0"/>
        <v>NACE A - 01.23 Growing of citrus fruits</v>
      </c>
      <c r="E16" s="377" t="s">
        <v>114</v>
      </c>
      <c r="F16" t="s">
        <v>115</v>
      </c>
      <c r="G16" t="str">
        <f t="shared" si="1"/>
        <v>AW</v>
      </c>
      <c r="H16" t="s">
        <v>2674</v>
      </c>
      <c r="I16" t="s">
        <v>2737</v>
      </c>
      <c r="K16" t="s">
        <v>2794</v>
      </c>
      <c r="S16">
        <v>2014</v>
      </c>
      <c r="V16" t="s">
        <v>28</v>
      </c>
      <c r="Z16" t="s">
        <v>2755</v>
      </c>
      <c r="AA16" t="s">
        <v>4667</v>
      </c>
      <c r="AC16">
        <v>15</v>
      </c>
    </row>
    <row r="17" spans="1:29">
      <c r="A17" s="380" t="s">
        <v>116</v>
      </c>
      <c r="B17" t="s">
        <v>117</v>
      </c>
      <c r="C17" s="379" t="s">
        <v>3878</v>
      </c>
      <c r="D17" s="380" t="str">
        <f t="shared" si="0"/>
        <v>NACE A - 01.24 Growing of pome fruits and stone fruits</v>
      </c>
      <c r="E17" s="377" t="s">
        <v>118</v>
      </c>
      <c r="F17" t="s">
        <v>119</v>
      </c>
      <c r="G17" t="str">
        <f t="shared" si="1"/>
        <v>AX</v>
      </c>
      <c r="H17" t="s">
        <v>28</v>
      </c>
      <c r="I17" t="s">
        <v>2736</v>
      </c>
      <c r="K17" t="s">
        <v>2795</v>
      </c>
      <c r="S17">
        <v>2015</v>
      </c>
      <c r="V17" t="s">
        <v>45</v>
      </c>
      <c r="Z17" t="s">
        <v>3185</v>
      </c>
      <c r="AA17" t="s">
        <v>4668</v>
      </c>
      <c r="AC17">
        <v>16</v>
      </c>
    </row>
    <row r="18" spans="1:29">
      <c r="A18" s="380" t="s">
        <v>120</v>
      </c>
      <c r="B18" t="s">
        <v>121</v>
      </c>
      <c r="C18" s="379" t="s">
        <v>3879</v>
      </c>
      <c r="D18" s="380" t="str">
        <f t="shared" si="0"/>
        <v>NACE A - 01.25 Growing of other tree and bush fruits and nuts</v>
      </c>
      <c r="E18" s="377" t="s">
        <v>122</v>
      </c>
      <c r="F18" t="s">
        <v>123</v>
      </c>
      <c r="G18" t="str">
        <f t="shared" si="1"/>
        <v>AZ</v>
      </c>
      <c r="H18" t="s">
        <v>45</v>
      </c>
      <c r="I18" t="s">
        <v>4276</v>
      </c>
      <c r="K18" t="s">
        <v>2796</v>
      </c>
      <c r="S18">
        <v>2016</v>
      </c>
      <c r="V18" t="s">
        <v>47</v>
      </c>
      <c r="Z18" t="s">
        <v>3186</v>
      </c>
      <c r="AA18" t="s">
        <v>4669</v>
      </c>
      <c r="AC18">
        <v>17</v>
      </c>
    </row>
    <row r="19" spans="1:29">
      <c r="A19" s="380" t="s">
        <v>124</v>
      </c>
      <c r="B19" t="s">
        <v>125</v>
      </c>
      <c r="C19" s="377" t="s">
        <v>3861</v>
      </c>
      <c r="D19" s="380" t="str">
        <f t="shared" si="0"/>
        <v>NACE A - 01.26 Growing of oleaginous fruits</v>
      </c>
      <c r="E19" s="377" t="s">
        <v>126</v>
      </c>
      <c r="F19" t="s">
        <v>127</v>
      </c>
      <c r="G19" t="str">
        <f t="shared" si="1"/>
        <v>BA</v>
      </c>
      <c r="H19" t="s">
        <v>47</v>
      </c>
      <c r="I19" t="s">
        <v>4263</v>
      </c>
      <c r="K19" t="s">
        <v>2797</v>
      </c>
      <c r="S19">
        <v>2017</v>
      </c>
      <c r="V19" t="s">
        <v>50</v>
      </c>
      <c r="Z19" t="s">
        <v>3187</v>
      </c>
      <c r="AA19" t="s">
        <v>4670</v>
      </c>
      <c r="AC19">
        <v>18</v>
      </c>
    </row>
    <row r="20" spans="1:29">
      <c r="A20" s="380" t="s">
        <v>128</v>
      </c>
      <c r="B20" t="s">
        <v>129</v>
      </c>
      <c r="C20" s="376" t="s">
        <v>3881</v>
      </c>
      <c r="D20" s="380" t="str">
        <f t="shared" si="0"/>
        <v>NACE A - 01.27 Growing of beverage crops</v>
      </c>
      <c r="E20" s="377" t="s">
        <v>130</v>
      </c>
      <c r="F20" t="s">
        <v>131</v>
      </c>
      <c r="G20" t="str">
        <f t="shared" si="1"/>
        <v>BB</v>
      </c>
      <c r="H20" t="s">
        <v>50</v>
      </c>
      <c r="I20" t="s">
        <v>2735</v>
      </c>
      <c r="K20" t="s">
        <v>2798</v>
      </c>
      <c r="S20">
        <v>2018</v>
      </c>
      <c r="V20" t="s">
        <v>52</v>
      </c>
      <c r="Z20" t="s">
        <v>2756</v>
      </c>
      <c r="AA20" t="s">
        <v>4671</v>
      </c>
      <c r="AC20">
        <v>19</v>
      </c>
    </row>
    <row r="21" spans="1:29">
      <c r="A21" s="380" t="s">
        <v>132</v>
      </c>
      <c r="B21" t="s">
        <v>133</v>
      </c>
      <c r="C21" s="376" t="s">
        <v>3884</v>
      </c>
      <c r="D21" s="380" t="str">
        <f t="shared" si="0"/>
        <v>NACE A - 01.28 Growing of spices, aromatic, drug and pharmaceutical crops</v>
      </c>
      <c r="E21" s="377" t="s">
        <v>134</v>
      </c>
      <c r="F21" t="s">
        <v>135</v>
      </c>
      <c r="G21" t="str">
        <f t="shared" si="1"/>
        <v>BD</v>
      </c>
      <c r="H21" t="s">
        <v>52</v>
      </c>
      <c r="I21" t="s">
        <v>2734</v>
      </c>
      <c r="K21" t="s">
        <v>2799</v>
      </c>
      <c r="S21">
        <v>2019</v>
      </c>
      <c r="V21" t="s">
        <v>53</v>
      </c>
      <c r="Z21" t="s">
        <v>3188</v>
      </c>
      <c r="AA21" t="s">
        <v>4672</v>
      </c>
      <c r="AC21">
        <v>20</v>
      </c>
    </row>
    <row r="22" spans="1:29">
      <c r="A22" s="380" t="s">
        <v>136</v>
      </c>
      <c r="B22" t="s">
        <v>137</v>
      </c>
      <c r="C22" s="379" t="s">
        <v>3882</v>
      </c>
      <c r="D22" s="380" t="str">
        <f t="shared" si="0"/>
        <v>NACE A - 01.29 Growing of other perennial crops</v>
      </c>
      <c r="E22" s="377" t="s">
        <v>138</v>
      </c>
      <c r="F22" t="s">
        <v>139</v>
      </c>
      <c r="G22" t="str">
        <f t="shared" si="1"/>
        <v>BE</v>
      </c>
      <c r="H22" t="s">
        <v>53</v>
      </c>
      <c r="I22" t="s">
        <v>2733</v>
      </c>
      <c r="K22" t="s">
        <v>3177</v>
      </c>
      <c r="S22">
        <v>2020</v>
      </c>
      <c r="Z22" t="s">
        <v>3189</v>
      </c>
      <c r="AA22" t="s">
        <v>4673</v>
      </c>
      <c r="AC22">
        <v>21</v>
      </c>
    </row>
    <row r="23" spans="1:29">
      <c r="A23" s="379" t="s">
        <v>140</v>
      </c>
      <c r="B23" t="s">
        <v>141</v>
      </c>
      <c r="C23" s="379" t="s">
        <v>3883</v>
      </c>
      <c r="D23" s="379" t="str">
        <f t="shared" si="0"/>
        <v>NACE A - 01.3 Plant propagation</v>
      </c>
      <c r="E23" s="377" t="s">
        <v>142</v>
      </c>
      <c r="F23" t="s">
        <v>143</v>
      </c>
      <c r="G23" t="str">
        <f t="shared" si="1"/>
        <v>BF</v>
      </c>
      <c r="I23" t="s">
        <v>4264</v>
      </c>
      <c r="K23" t="s">
        <v>2800</v>
      </c>
      <c r="S23">
        <v>2021</v>
      </c>
      <c r="Z23" t="s">
        <v>2757</v>
      </c>
      <c r="AA23" t="s">
        <v>4674</v>
      </c>
      <c r="AC23">
        <v>22</v>
      </c>
    </row>
    <row r="24" spans="1:29">
      <c r="A24" s="380" t="s">
        <v>144</v>
      </c>
      <c r="B24" t="s">
        <v>145</v>
      </c>
      <c r="C24" s="376" t="s">
        <v>3887</v>
      </c>
      <c r="D24" s="380" t="str">
        <f t="shared" si="0"/>
        <v>NACE A - 01.30 Plant propagation</v>
      </c>
      <c r="E24" s="377" t="s">
        <v>146</v>
      </c>
      <c r="F24" t="s">
        <v>147</v>
      </c>
      <c r="G24" t="str">
        <f t="shared" si="1"/>
        <v>BG</v>
      </c>
      <c r="I24" t="s">
        <v>4265</v>
      </c>
      <c r="K24" t="s">
        <v>2801</v>
      </c>
      <c r="S24">
        <v>2022</v>
      </c>
      <c r="Z24" t="s">
        <v>3190</v>
      </c>
      <c r="AA24" t="s">
        <v>4675</v>
      </c>
      <c r="AC24">
        <v>23</v>
      </c>
    </row>
    <row r="25" spans="1:29">
      <c r="A25" s="379" t="s">
        <v>148</v>
      </c>
      <c r="B25" t="s">
        <v>149</v>
      </c>
      <c r="C25" s="379" t="s">
        <v>3885</v>
      </c>
      <c r="D25" s="379" t="str">
        <f t="shared" si="0"/>
        <v>NACE A - 01.4 Animal production</v>
      </c>
      <c r="E25" s="377" t="s">
        <v>150</v>
      </c>
      <c r="F25" t="s">
        <v>151</v>
      </c>
      <c r="G25" t="str">
        <f t="shared" si="1"/>
        <v>BH</v>
      </c>
      <c r="I25" t="s">
        <v>4277</v>
      </c>
      <c r="K25" t="s">
        <v>2802</v>
      </c>
      <c r="S25">
        <v>2023</v>
      </c>
      <c r="Z25" t="s">
        <v>3191</v>
      </c>
      <c r="AA25" t="s">
        <v>4676</v>
      </c>
      <c r="AC25">
        <v>24</v>
      </c>
    </row>
    <row r="26" spans="1:29">
      <c r="A26" s="380" t="s">
        <v>152</v>
      </c>
      <c r="B26" t="s">
        <v>153</v>
      </c>
      <c r="C26" s="379" t="s">
        <v>3886</v>
      </c>
      <c r="D26" s="380" t="str">
        <f t="shared" si="0"/>
        <v>NACE A - 01.41 Raising of dairy cattle</v>
      </c>
      <c r="E26" s="377" t="s">
        <v>154</v>
      </c>
      <c r="F26" t="s">
        <v>155</v>
      </c>
      <c r="G26" t="str">
        <f t="shared" si="1"/>
        <v>BI</v>
      </c>
      <c r="I26" t="s">
        <v>2732</v>
      </c>
      <c r="K26" t="s">
        <v>2803</v>
      </c>
      <c r="S26">
        <v>2024</v>
      </c>
      <c r="Z26" t="s">
        <v>3192</v>
      </c>
      <c r="AA26" t="s">
        <v>4677</v>
      </c>
      <c r="AC26">
        <v>25</v>
      </c>
    </row>
    <row r="27" spans="1:29">
      <c r="A27" s="380" t="s">
        <v>156</v>
      </c>
      <c r="B27" t="s">
        <v>157</v>
      </c>
      <c r="C27" s="376" t="s">
        <v>3890</v>
      </c>
      <c r="D27" s="380" t="str">
        <f t="shared" si="0"/>
        <v>NACE A - 01.42 Raising of other cattle and buffaloes</v>
      </c>
      <c r="E27" s="377" t="s">
        <v>158</v>
      </c>
      <c r="F27" t="s">
        <v>159</v>
      </c>
      <c r="G27" t="str">
        <f t="shared" si="1"/>
        <v>BJ</v>
      </c>
      <c r="I27" t="s">
        <v>2731</v>
      </c>
      <c r="K27" t="s">
        <v>2804</v>
      </c>
      <c r="S27">
        <v>2025</v>
      </c>
      <c r="Z27" t="s">
        <v>3193</v>
      </c>
      <c r="AA27" t="s">
        <v>4678</v>
      </c>
      <c r="AC27">
        <v>26</v>
      </c>
    </row>
    <row r="28" spans="1:29">
      <c r="A28" s="380" t="s">
        <v>160</v>
      </c>
      <c r="B28" t="s">
        <v>161</v>
      </c>
      <c r="C28" s="379" t="s">
        <v>3888</v>
      </c>
      <c r="D28" s="380" t="str">
        <f t="shared" si="0"/>
        <v>NACE A - 01.43 Raising of horses and other equines</v>
      </c>
      <c r="E28" s="377" t="s">
        <v>162</v>
      </c>
      <c r="F28" t="s">
        <v>163</v>
      </c>
      <c r="G28" t="str">
        <f t="shared" si="1"/>
        <v>BL</v>
      </c>
      <c r="I28" t="s">
        <v>4279</v>
      </c>
      <c r="K28" t="s">
        <v>2754</v>
      </c>
      <c r="S28">
        <v>2026</v>
      </c>
      <c r="Z28" t="s">
        <v>3194</v>
      </c>
      <c r="AA28" t="s">
        <v>4679</v>
      </c>
      <c r="AC28">
        <v>27</v>
      </c>
    </row>
    <row r="29" spans="1:29">
      <c r="A29" s="380" t="s">
        <v>164</v>
      </c>
      <c r="B29" t="s">
        <v>165</v>
      </c>
      <c r="C29" s="379" t="s">
        <v>3889</v>
      </c>
      <c r="D29" s="380" t="str">
        <f t="shared" si="0"/>
        <v>NACE A - 01.44 Raising of camels and camelids</v>
      </c>
      <c r="E29" s="377" t="s">
        <v>166</v>
      </c>
      <c r="F29" t="s">
        <v>167</v>
      </c>
      <c r="G29" t="str">
        <f t="shared" si="1"/>
        <v>BM</v>
      </c>
      <c r="I29" t="s">
        <v>2730</v>
      </c>
      <c r="K29" t="s">
        <v>3178</v>
      </c>
      <c r="S29">
        <v>2027</v>
      </c>
      <c r="Z29" t="s">
        <v>3195</v>
      </c>
      <c r="AA29" t="s">
        <v>4680</v>
      </c>
      <c r="AC29">
        <v>28</v>
      </c>
    </row>
    <row r="30" spans="1:29">
      <c r="A30" s="380" t="s">
        <v>168</v>
      </c>
      <c r="B30" t="s">
        <v>169</v>
      </c>
      <c r="C30" s="376" t="s">
        <v>3893</v>
      </c>
      <c r="D30" s="380" t="str">
        <f t="shared" si="0"/>
        <v>NACE A - 01.45 Raising of sheep and goats</v>
      </c>
      <c r="E30" s="377" t="s">
        <v>170</v>
      </c>
      <c r="F30" t="s">
        <v>171</v>
      </c>
      <c r="G30" t="str">
        <f t="shared" si="1"/>
        <v>BN</v>
      </c>
      <c r="I30" t="s">
        <v>2729</v>
      </c>
      <c r="K30" t="s">
        <v>2805</v>
      </c>
      <c r="S30">
        <v>2028</v>
      </c>
      <c r="Z30" t="s">
        <v>3196</v>
      </c>
      <c r="AA30" t="s">
        <v>4681</v>
      </c>
      <c r="AC30">
        <v>29</v>
      </c>
    </row>
    <row r="31" spans="1:29">
      <c r="A31" s="380" t="s">
        <v>172</v>
      </c>
      <c r="B31" t="s">
        <v>173</v>
      </c>
      <c r="C31" s="379" t="s">
        <v>3891</v>
      </c>
      <c r="D31" s="380" t="str">
        <f t="shared" si="0"/>
        <v>NACE A - 01.46 Raising of swine and pigs</v>
      </c>
      <c r="E31" s="377" t="s">
        <v>174</v>
      </c>
      <c r="F31" t="s">
        <v>175</v>
      </c>
      <c r="G31" t="str">
        <f t="shared" si="1"/>
        <v>BO</v>
      </c>
      <c r="I31" t="s">
        <v>2728</v>
      </c>
      <c r="K31" t="s">
        <v>2806</v>
      </c>
      <c r="S31">
        <v>2029</v>
      </c>
      <c r="Z31" t="s">
        <v>2758</v>
      </c>
      <c r="AA31" t="s">
        <v>4682</v>
      </c>
      <c r="AC31">
        <v>30</v>
      </c>
    </row>
    <row r="32" spans="1:29">
      <c r="A32" s="380" t="s">
        <v>176</v>
      </c>
      <c r="B32" t="s">
        <v>177</v>
      </c>
      <c r="C32" s="379" t="s">
        <v>3892</v>
      </c>
      <c r="D32" s="380" t="str">
        <f t="shared" si="0"/>
        <v>NACE A - 01.47 Raising of poultry</v>
      </c>
      <c r="E32" s="377" t="s">
        <v>178</v>
      </c>
      <c r="F32" t="s">
        <v>179</v>
      </c>
      <c r="G32" t="str">
        <f t="shared" si="1"/>
        <v>BQ</v>
      </c>
      <c r="I32" t="s">
        <v>2727</v>
      </c>
      <c r="K32" t="s">
        <v>2807</v>
      </c>
      <c r="S32">
        <v>2030</v>
      </c>
      <c r="Z32" t="s">
        <v>3197</v>
      </c>
      <c r="AA32" t="s">
        <v>4683</v>
      </c>
      <c r="AC32">
        <v>31</v>
      </c>
    </row>
    <row r="33" spans="1:27">
      <c r="A33" s="380" t="s">
        <v>180</v>
      </c>
      <c r="B33" t="s">
        <v>181</v>
      </c>
      <c r="C33" s="379" t="s">
        <v>3894</v>
      </c>
      <c r="D33" s="380" t="str">
        <f t="shared" si="0"/>
        <v>NACE A - 01.48 Raising of other animals</v>
      </c>
      <c r="E33" s="377" t="s">
        <v>182</v>
      </c>
      <c r="F33" t="s">
        <v>183</v>
      </c>
      <c r="G33" t="str">
        <f t="shared" si="1"/>
        <v>BR</v>
      </c>
      <c r="I33" t="s">
        <v>2726</v>
      </c>
      <c r="K33" t="s">
        <v>2808</v>
      </c>
      <c r="S33">
        <v>2031</v>
      </c>
      <c r="Z33" t="s">
        <v>3198</v>
      </c>
      <c r="AA33" t="s">
        <v>4684</v>
      </c>
    </row>
    <row r="34" spans="1:27">
      <c r="A34" s="379" t="s">
        <v>184</v>
      </c>
      <c r="B34" t="s">
        <v>185</v>
      </c>
      <c r="C34" s="379" t="s">
        <v>3895</v>
      </c>
      <c r="D34" s="379" t="str">
        <f t="shared" si="0"/>
        <v>NACE A - 01.5 Mixed farming</v>
      </c>
      <c r="E34" s="377" t="s">
        <v>186</v>
      </c>
      <c r="F34" t="s">
        <v>187</v>
      </c>
      <c r="G34" t="str">
        <f t="shared" si="1"/>
        <v>BS</v>
      </c>
      <c r="I34" t="s">
        <v>2725</v>
      </c>
      <c r="K34" t="s">
        <v>2785</v>
      </c>
      <c r="S34">
        <v>2032</v>
      </c>
      <c r="Z34" t="s">
        <v>3199</v>
      </c>
      <c r="AA34" t="s">
        <v>4685</v>
      </c>
    </row>
    <row r="35" spans="1:27">
      <c r="A35" s="380" t="s">
        <v>188</v>
      </c>
      <c r="B35" t="s">
        <v>189</v>
      </c>
      <c r="C35" s="377" t="s">
        <v>3880</v>
      </c>
      <c r="D35" s="380" t="str">
        <f t="shared" si="0"/>
        <v>NACE A - 01.50 Mixed farming</v>
      </c>
      <c r="E35" s="377" t="s">
        <v>190</v>
      </c>
      <c r="F35" t="s">
        <v>191</v>
      </c>
      <c r="G35" t="str">
        <f t="shared" si="1"/>
        <v>BT</v>
      </c>
      <c r="I35" t="s">
        <v>2724</v>
      </c>
      <c r="K35" t="s">
        <v>2809</v>
      </c>
      <c r="S35">
        <v>2033</v>
      </c>
      <c r="Z35" t="s">
        <v>3200</v>
      </c>
      <c r="AA35" t="s">
        <v>4686</v>
      </c>
    </row>
    <row r="36" spans="1:27">
      <c r="A36" s="379" t="s">
        <v>192</v>
      </c>
      <c r="B36" t="s">
        <v>193</v>
      </c>
      <c r="C36" s="376" t="s">
        <v>3897</v>
      </c>
      <c r="D36" s="379" t="str">
        <f t="shared" si="0"/>
        <v>NACE A - 01.6 Support activities to agriculture and post-harvest crop activities</v>
      </c>
      <c r="E36" s="377" t="s">
        <v>194</v>
      </c>
      <c r="F36" t="s">
        <v>195</v>
      </c>
      <c r="G36" t="str">
        <f t="shared" si="1"/>
        <v>BU</v>
      </c>
      <c r="I36" t="s">
        <v>2723</v>
      </c>
      <c r="K36" t="s">
        <v>2810</v>
      </c>
      <c r="S36">
        <v>2034</v>
      </c>
      <c r="Z36" t="s">
        <v>3201</v>
      </c>
      <c r="AA36" t="s">
        <v>4687</v>
      </c>
    </row>
    <row r="37" spans="1:27">
      <c r="A37" s="380" t="s">
        <v>196</v>
      </c>
      <c r="B37" t="s">
        <v>197</v>
      </c>
      <c r="C37" s="379" t="s">
        <v>3898</v>
      </c>
      <c r="D37" s="380" t="str">
        <f t="shared" si="0"/>
        <v>NACE A - 01.61 Support activities for crop production</v>
      </c>
      <c r="E37" s="377" t="s">
        <v>198</v>
      </c>
      <c r="F37" t="s">
        <v>199</v>
      </c>
      <c r="G37" t="str">
        <f t="shared" si="1"/>
        <v>BV</v>
      </c>
      <c r="I37" t="s">
        <v>2722</v>
      </c>
      <c r="K37" t="s">
        <v>2811</v>
      </c>
      <c r="S37">
        <v>2035</v>
      </c>
      <c r="Z37" t="s">
        <v>3202</v>
      </c>
      <c r="AA37" t="s">
        <v>4688</v>
      </c>
    </row>
    <row r="38" spans="1:27">
      <c r="A38" s="380" t="s">
        <v>200</v>
      </c>
      <c r="B38" t="s">
        <v>201</v>
      </c>
      <c r="C38" s="379" t="s">
        <v>3899</v>
      </c>
      <c r="D38" s="380" t="str">
        <f t="shared" si="0"/>
        <v>NACE A - 01.62 Support activities for animal production</v>
      </c>
      <c r="E38" s="377" t="s">
        <v>202</v>
      </c>
      <c r="F38" t="s">
        <v>203</v>
      </c>
      <c r="G38" t="str">
        <f t="shared" si="1"/>
        <v>BW</v>
      </c>
      <c r="I38" t="s">
        <v>4278</v>
      </c>
      <c r="K38" t="s">
        <v>3179</v>
      </c>
      <c r="S38">
        <v>2036</v>
      </c>
      <c r="Z38" t="s">
        <v>3203</v>
      </c>
      <c r="AA38" t="s">
        <v>4689</v>
      </c>
    </row>
    <row r="39" spans="1:27">
      <c r="A39" s="380" t="s">
        <v>204</v>
      </c>
      <c r="B39" t="s">
        <v>205</v>
      </c>
      <c r="C39" s="379" t="s">
        <v>3900</v>
      </c>
      <c r="D39" s="380" t="str">
        <f t="shared" si="0"/>
        <v>NACE A - 01.63 Post-harvest crop activities and seed processing for propagation</v>
      </c>
      <c r="E39" s="377" t="s">
        <v>206</v>
      </c>
      <c r="F39" t="s">
        <v>207</v>
      </c>
      <c r="G39" t="str">
        <f t="shared" si="1"/>
        <v>BY</v>
      </c>
      <c r="I39" t="s">
        <v>4266</v>
      </c>
      <c r="K39" t="s">
        <v>2812</v>
      </c>
      <c r="S39">
        <v>2037</v>
      </c>
      <c r="Z39" t="s">
        <v>3204</v>
      </c>
      <c r="AA39" t="s">
        <v>4690</v>
      </c>
    </row>
    <row r="40" spans="1:27">
      <c r="A40" s="379" t="s">
        <v>208</v>
      </c>
      <c r="B40" t="s">
        <v>209</v>
      </c>
      <c r="C40" s="379" t="s">
        <v>3901</v>
      </c>
      <c r="D40" s="379" t="str">
        <f t="shared" si="0"/>
        <v>NACE A - 01.7 Hunting, trapping and related service activities</v>
      </c>
      <c r="E40" s="377" t="s">
        <v>210</v>
      </c>
      <c r="F40" t="s">
        <v>211</v>
      </c>
      <c r="G40" t="str">
        <f t="shared" si="1"/>
        <v>BZ</v>
      </c>
      <c r="I40" t="s">
        <v>4267</v>
      </c>
      <c r="K40" t="s">
        <v>2813</v>
      </c>
      <c r="S40">
        <v>2038</v>
      </c>
      <c r="Z40" t="s">
        <v>3205</v>
      </c>
      <c r="AA40" t="s">
        <v>4691</v>
      </c>
    </row>
    <row r="41" spans="1:27">
      <c r="A41" s="380" t="s">
        <v>212</v>
      </c>
      <c r="B41" t="s">
        <v>213</v>
      </c>
      <c r="C41" s="379" t="s">
        <v>3902</v>
      </c>
      <c r="D41" s="380" t="str">
        <f t="shared" si="0"/>
        <v>NACE A - 01.70 Hunting, trapping and related service activities</v>
      </c>
      <c r="E41" s="377" t="s">
        <v>214</v>
      </c>
      <c r="F41" t="s">
        <v>215</v>
      </c>
      <c r="G41" t="str">
        <f t="shared" si="1"/>
        <v>CA</v>
      </c>
      <c r="I41" t="s">
        <v>2721</v>
      </c>
      <c r="K41" t="s">
        <v>2814</v>
      </c>
      <c r="S41">
        <v>2039</v>
      </c>
      <c r="Z41" t="s">
        <v>3206</v>
      </c>
      <c r="AA41" t="s">
        <v>4692</v>
      </c>
    </row>
    <row r="42" spans="1:27">
      <c r="A42" s="376" t="s">
        <v>216</v>
      </c>
      <c r="B42" t="s">
        <v>217</v>
      </c>
      <c r="C42" s="379" t="s">
        <v>3903</v>
      </c>
      <c r="D42" s="376" t="str">
        <f t="shared" si="0"/>
        <v>NACE A - 02 Forestry and logging</v>
      </c>
      <c r="E42" s="377" t="s">
        <v>218</v>
      </c>
      <c r="F42" t="s">
        <v>219</v>
      </c>
      <c r="G42" t="str">
        <f t="shared" si="1"/>
        <v>CC</v>
      </c>
      <c r="I42" t="s">
        <v>2720</v>
      </c>
      <c r="K42" t="s">
        <v>2815</v>
      </c>
      <c r="S42">
        <v>2040</v>
      </c>
      <c r="Z42" t="s">
        <v>3207</v>
      </c>
      <c r="AA42" t="s">
        <v>4693</v>
      </c>
    </row>
    <row r="43" spans="1:27">
      <c r="A43" s="379" t="s">
        <v>220</v>
      </c>
      <c r="B43" t="s">
        <v>221</v>
      </c>
      <c r="C43" s="379" t="s">
        <v>3904</v>
      </c>
      <c r="D43" s="379" t="str">
        <f t="shared" si="0"/>
        <v>NACE A - 02.1 Silviculture and other forestry activities</v>
      </c>
      <c r="E43" s="377" t="s">
        <v>222</v>
      </c>
      <c r="F43" t="s">
        <v>223</v>
      </c>
      <c r="G43" t="str">
        <f t="shared" si="1"/>
        <v>CD</v>
      </c>
      <c r="I43" t="s">
        <v>2719</v>
      </c>
      <c r="K43" t="s">
        <v>2816</v>
      </c>
      <c r="S43">
        <v>2041</v>
      </c>
      <c r="Z43" t="s">
        <v>3208</v>
      </c>
      <c r="AA43" t="s">
        <v>4694</v>
      </c>
    </row>
    <row r="44" spans="1:27">
      <c r="A44" s="380" t="s">
        <v>224</v>
      </c>
      <c r="B44" t="s">
        <v>225</v>
      </c>
      <c r="C44" s="379" t="s">
        <v>3905</v>
      </c>
      <c r="D44" s="380" t="str">
        <f t="shared" si="0"/>
        <v>NACE A - 02.10 Silviculture and other forestry activities</v>
      </c>
      <c r="E44" s="377" t="s">
        <v>226</v>
      </c>
      <c r="F44" t="s">
        <v>227</v>
      </c>
      <c r="G44" t="str">
        <f t="shared" si="1"/>
        <v>CF</v>
      </c>
      <c r="I44" t="s">
        <v>2718</v>
      </c>
      <c r="K44" t="s">
        <v>3180</v>
      </c>
      <c r="S44">
        <v>2042</v>
      </c>
      <c r="Z44" t="s">
        <v>2759</v>
      </c>
      <c r="AA44" t="s">
        <v>4695</v>
      </c>
    </row>
    <row r="45" spans="1:27">
      <c r="A45" s="379" t="s">
        <v>228</v>
      </c>
      <c r="B45" t="s">
        <v>229</v>
      </c>
      <c r="C45" s="379" t="s">
        <v>3906</v>
      </c>
      <c r="D45" s="379" t="str">
        <f t="shared" si="0"/>
        <v>NACE A - 02.2 Logging</v>
      </c>
      <c r="E45" s="377" t="s">
        <v>230</v>
      </c>
      <c r="F45" t="s">
        <v>231</v>
      </c>
      <c r="G45" t="str">
        <f t="shared" si="1"/>
        <v>CG</v>
      </c>
      <c r="I45" t="s">
        <v>2717</v>
      </c>
      <c r="K45" t="s">
        <v>2817</v>
      </c>
      <c r="S45">
        <v>2043</v>
      </c>
      <c r="Z45" t="s">
        <v>3209</v>
      </c>
      <c r="AA45" t="s">
        <v>4696</v>
      </c>
    </row>
    <row r="46" spans="1:27">
      <c r="A46" s="380" t="s">
        <v>232</v>
      </c>
      <c r="B46" t="s">
        <v>233</v>
      </c>
      <c r="C46" s="376" t="s">
        <v>3907</v>
      </c>
      <c r="D46" s="380" t="str">
        <f t="shared" si="0"/>
        <v>NACE A - 02.20 Logging</v>
      </c>
      <c r="E46" s="377" t="s">
        <v>234</v>
      </c>
      <c r="F46" t="s">
        <v>235</v>
      </c>
      <c r="G46" t="str">
        <f t="shared" si="1"/>
        <v>CH</v>
      </c>
      <c r="I46" t="s">
        <v>4280</v>
      </c>
      <c r="K46" t="s">
        <v>2818</v>
      </c>
      <c r="S46">
        <v>2044</v>
      </c>
      <c r="Z46" t="s">
        <v>3210</v>
      </c>
      <c r="AA46" t="s">
        <v>4697</v>
      </c>
    </row>
    <row r="47" spans="1:27">
      <c r="A47" s="379" t="s">
        <v>236</v>
      </c>
      <c r="B47" t="s">
        <v>237</v>
      </c>
      <c r="C47" s="379" t="s">
        <v>3908</v>
      </c>
      <c r="D47" s="379" t="str">
        <f t="shared" si="0"/>
        <v>NACE A - 02.3 Gathering of wild growing non-wood products</v>
      </c>
      <c r="E47" s="377" t="s">
        <v>238</v>
      </c>
      <c r="F47" t="s">
        <v>239</v>
      </c>
      <c r="G47" t="str">
        <f t="shared" si="1"/>
        <v>CI</v>
      </c>
      <c r="I47" t="s">
        <v>2716</v>
      </c>
      <c r="K47" t="s">
        <v>2819</v>
      </c>
      <c r="S47">
        <v>2045</v>
      </c>
      <c r="Z47" t="s">
        <v>3211</v>
      </c>
      <c r="AA47" t="s">
        <v>4698</v>
      </c>
    </row>
    <row r="48" spans="1:27">
      <c r="A48" s="380" t="s">
        <v>240</v>
      </c>
      <c r="B48" t="s">
        <v>241</v>
      </c>
      <c r="C48" s="376" t="s">
        <v>3909</v>
      </c>
      <c r="D48" s="380" t="str">
        <f t="shared" si="0"/>
        <v>NACE A - 02.30 Gathering of wild growing non-wood products</v>
      </c>
      <c r="E48" s="377" t="s">
        <v>242</v>
      </c>
      <c r="F48" t="s">
        <v>243</v>
      </c>
      <c r="G48" t="str">
        <f t="shared" si="1"/>
        <v>CK</v>
      </c>
      <c r="I48" t="s">
        <v>2715</v>
      </c>
      <c r="K48" t="s">
        <v>2820</v>
      </c>
      <c r="S48">
        <v>2046</v>
      </c>
      <c r="Z48" t="s">
        <v>3212</v>
      </c>
      <c r="AA48" t="s">
        <v>4699</v>
      </c>
    </row>
    <row r="49" spans="1:27">
      <c r="A49" s="379" t="s">
        <v>244</v>
      </c>
      <c r="B49" t="s">
        <v>245</v>
      </c>
      <c r="C49" s="379" t="s">
        <v>3910</v>
      </c>
      <c r="D49" s="379" t="str">
        <f t="shared" si="0"/>
        <v>NACE A - 02.4 Support services to forestry</v>
      </c>
      <c r="E49" s="377" t="s">
        <v>246</v>
      </c>
      <c r="F49" t="s">
        <v>247</v>
      </c>
      <c r="G49" t="str">
        <f t="shared" si="1"/>
        <v>CL</v>
      </c>
      <c r="I49" t="s">
        <v>2714</v>
      </c>
      <c r="K49" t="s">
        <v>2821</v>
      </c>
      <c r="S49">
        <v>2047</v>
      </c>
      <c r="Z49" t="s">
        <v>3213</v>
      </c>
      <c r="AA49" t="s">
        <v>4700</v>
      </c>
    </row>
    <row r="50" spans="1:27">
      <c r="A50" s="380" t="s">
        <v>248</v>
      </c>
      <c r="B50" t="s">
        <v>249</v>
      </c>
      <c r="C50" s="376" t="s">
        <v>3911</v>
      </c>
      <c r="D50" s="380" t="str">
        <f t="shared" si="0"/>
        <v>NACE A - 02.40 Support services to forestry</v>
      </c>
      <c r="E50" s="377" t="s">
        <v>250</v>
      </c>
      <c r="F50" t="s">
        <v>251</v>
      </c>
      <c r="G50" t="str">
        <f t="shared" si="1"/>
        <v>CM</v>
      </c>
      <c r="I50" t="s">
        <v>2713</v>
      </c>
      <c r="K50" t="s">
        <v>2822</v>
      </c>
      <c r="S50">
        <v>2048</v>
      </c>
      <c r="Z50" t="s">
        <v>3214</v>
      </c>
      <c r="AA50" t="s">
        <v>4701</v>
      </c>
    </row>
    <row r="51" spans="1:27">
      <c r="A51" s="376" t="s">
        <v>252</v>
      </c>
      <c r="B51" t="s">
        <v>253</v>
      </c>
      <c r="C51" s="379" t="s">
        <v>3912</v>
      </c>
      <c r="D51" s="376" t="str">
        <f t="shared" si="0"/>
        <v>NACE A - 03 Fishing and aquaculture</v>
      </c>
      <c r="E51" s="377" t="s">
        <v>254</v>
      </c>
      <c r="F51" t="s">
        <v>255</v>
      </c>
      <c r="G51" t="str">
        <f t="shared" si="1"/>
        <v>CN</v>
      </c>
      <c r="I51" t="s">
        <v>2712</v>
      </c>
      <c r="K51" t="s">
        <v>3181</v>
      </c>
      <c r="S51">
        <v>2049</v>
      </c>
      <c r="Z51" t="s">
        <v>3215</v>
      </c>
      <c r="AA51" t="s">
        <v>4702</v>
      </c>
    </row>
    <row r="52" spans="1:27">
      <c r="A52" s="379" t="s">
        <v>256</v>
      </c>
      <c r="B52" t="s">
        <v>257</v>
      </c>
      <c r="C52" s="379" t="s">
        <v>3913</v>
      </c>
      <c r="D52" s="379" t="str">
        <f t="shared" si="0"/>
        <v>NACE A - 03.1 Fishing</v>
      </c>
      <c r="E52" s="377" t="s">
        <v>258</v>
      </c>
      <c r="F52" t="s">
        <v>259</v>
      </c>
      <c r="G52" t="str">
        <f t="shared" si="1"/>
        <v>CO</v>
      </c>
      <c r="I52" t="s">
        <v>4268</v>
      </c>
      <c r="K52" t="s">
        <v>2823</v>
      </c>
      <c r="S52">
        <v>2050</v>
      </c>
      <c r="Z52" t="s">
        <v>2760</v>
      </c>
      <c r="AA52" t="s">
        <v>4703</v>
      </c>
    </row>
    <row r="53" spans="1:27">
      <c r="A53" s="380" t="s">
        <v>260</v>
      </c>
      <c r="B53" t="s">
        <v>261</v>
      </c>
      <c r="C53" s="379" t="s">
        <v>3914</v>
      </c>
      <c r="D53" s="380" t="str">
        <f t="shared" si="0"/>
        <v>NACE A - 03.11 Marine fishing</v>
      </c>
      <c r="E53" s="377" t="s">
        <v>262</v>
      </c>
      <c r="F53" t="s">
        <v>263</v>
      </c>
      <c r="G53" t="str">
        <f t="shared" si="1"/>
        <v>CR</v>
      </c>
      <c r="I53" t="s">
        <v>2711</v>
      </c>
      <c r="K53" t="s">
        <v>2824</v>
      </c>
      <c r="S53">
        <v>2051</v>
      </c>
      <c r="Z53" t="s">
        <v>3216</v>
      </c>
      <c r="AA53" t="s">
        <v>4704</v>
      </c>
    </row>
    <row r="54" spans="1:27">
      <c r="A54" s="380" t="s">
        <v>264</v>
      </c>
      <c r="B54" t="s">
        <v>265</v>
      </c>
      <c r="C54" s="379" t="s">
        <v>3915</v>
      </c>
      <c r="D54" s="380" t="str">
        <f t="shared" si="0"/>
        <v>NACE A - 03.12 Freshwater fishing</v>
      </c>
      <c r="E54" s="377" t="s">
        <v>266</v>
      </c>
      <c r="F54" t="s">
        <v>267</v>
      </c>
      <c r="G54" t="str">
        <f t="shared" si="1"/>
        <v>CS</v>
      </c>
      <c r="I54" t="s">
        <v>4269</v>
      </c>
      <c r="K54" t="s">
        <v>2825</v>
      </c>
      <c r="S54">
        <v>2052</v>
      </c>
      <c r="Z54" t="s">
        <v>3217</v>
      </c>
      <c r="AA54" t="s">
        <v>4705</v>
      </c>
    </row>
    <row r="55" spans="1:27">
      <c r="A55" s="379" t="s">
        <v>268</v>
      </c>
      <c r="B55" t="s">
        <v>269</v>
      </c>
      <c r="C55" s="376" t="s">
        <v>3916</v>
      </c>
      <c r="D55" s="379" t="str">
        <f t="shared" si="0"/>
        <v>NACE A - 03.2 Aquaculture</v>
      </c>
      <c r="E55" s="377" t="s">
        <v>270</v>
      </c>
      <c r="F55" t="s">
        <v>271</v>
      </c>
      <c r="G55" t="str">
        <f t="shared" si="1"/>
        <v>CU</v>
      </c>
      <c r="I55" t="s">
        <v>2710</v>
      </c>
      <c r="K55" t="s">
        <v>2826</v>
      </c>
      <c r="S55">
        <v>2053</v>
      </c>
      <c r="Z55" t="s">
        <v>3218</v>
      </c>
      <c r="AA55" t="s">
        <v>4706</v>
      </c>
    </row>
    <row r="56" spans="1:27">
      <c r="A56" s="380" t="s">
        <v>272</v>
      </c>
      <c r="B56" t="s">
        <v>273</v>
      </c>
      <c r="C56" s="379" t="s">
        <v>3917</v>
      </c>
      <c r="D56" s="380" t="str">
        <f t="shared" si="0"/>
        <v>NACE A - 03.21 Marine aquaculture</v>
      </c>
      <c r="E56" s="377" t="s">
        <v>274</v>
      </c>
      <c r="F56" t="s">
        <v>275</v>
      </c>
      <c r="G56" t="str">
        <f t="shared" si="1"/>
        <v>CV</v>
      </c>
      <c r="I56" t="s">
        <v>2709</v>
      </c>
      <c r="K56" t="s">
        <v>3182</v>
      </c>
      <c r="S56">
        <v>2054</v>
      </c>
      <c r="Z56" t="s">
        <v>3219</v>
      </c>
      <c r="AA56" t="s">
        <v>4707</v>
      </c>
    </row>
    <row r="57" spans="1:27">
      <c r="A57" s="380" t="s">
        <v>276</v>
      </c>
      <c r="B57" t="s">
        <v>277</v>
      </c>
      <c r="C57" s="379" t="s">
        <v>3918</v>
      </c>
      <c r="D57" s="380" t="str">
        <f t="shared" si="0"/>
        <v>NACE A - 03.22 Freshwater aquaculture</v>
      </c>
      <c r="E57" s="377" t="s">
        <v>278</v>
      </c>
      <c r="F57" t="s">
        <v>279</v>
      </c>
      <c r="G57" t="str">
        <f t="shared" si="1"/>
        <v>CW</v>
      </c>
      <c r="I57" t="s">
        <v>2708</v>
      </c>
      <c r="K57" t="s">
        <v>2827</v>
      </c>
      <c r="S57">
        <v>2055</v>
      </c>
      <c r="Z57" t="s">
        <v>3220</v>
      </c>
      <c r="AA57" t="s">
        <v>4708</v>
      </c>
    </row>
    <row r="58" spans="1:27">
      <c r="A58" s="379" t="s">
        <v>280</v>
      </c>
      <c r="B58" t="s">
        <v>281</v>
      </c>
      <c r="C58" s="376" t="s">
        <v>3919</v>
      </c>
      <c r="D58" s="379" t="str">
        <f t="shared" si="0"/>
        <v>NACE A - 03.3 Support activities for fishing and aquaculture</v>
      </c>
      <c r="E58" s="377" t="s">
        <v>282</v>
      </c>
      <c r="F58" t="s">
        <v>283</v>
      </c>
      <c r="G58" t="str">
        <f t="shared" si="1"/>
        <v>CX</v>
      </c>
      <c r="I58" t="s">
        <v>4270</v>
      </c>
      <c r="K58" t="s">
        <v>2828</v>
      </c>
      <c r="S58">
        <v>2056</v>
      </c>
      <c r="Z58" t="s">
        <v>2761</v>
      </c>
      <c r="AA58" t="s">
        <v>4709</v>
      </c>
    </row>
    <row r="59" spans="1:27">
      <c r="A59" s="380" t="s">
        <v>284</v>
      </c>
      <c r="B59" t="s">
        <v>285</v>
      </c>
      <c r="C59" s="379" t="s">
        <v>3920</v>
      </c>
      <c r="D59" s="380" t="str">
        <f t="shared" si="0"/>
        <v>NACE A - 03.30 Support activities for fishing and aquaculture</v>
      </c>
      <c r="E59" s="377" t="s">
        <v>286</v>
      </c>
      <c r="F59" t="s">
        <v>287</v>
      </c>
      <c r="G59" t="str">
        <f t="shared" si="1"/>
        <v>CY</v>
      </c>
      <c r="I59" t="s">
        <v>2707</v>
      </c>
      <c r="K59" t="s">
        <v>2829</v>
      </c>
      <c r="S59">
        <v>2057</v>
      </c>
      <c r="Z59" t="s">
        <v>3221</v>
      </c>
      <c r="AA59" t="s">
        <v>4710</v>
      </c>
    </row>
    <row r="60" spans="1:27">
      <c r="A60" s="377" t="s">
        <v>288</v>
      </c>
      <c r="B60" t="s">
        <v>289</v>
      </c>
      <c r="C60" s="379" t="s">
        <v>3921</v>
      </c>
      <c r="D60" s="377" t="str">
        <f t="shared" si="0"/>
        <v>NACE B - MINING AND QUARRYING</v>
      </c>
      <c r="E60" s="377" t="s">
        <v>290</v>
      </c>
      <c r="F60" t="s">
        <v>291</v>
      </c>
      <c r="G60" t="str">
        <f t="shared" si="1"/>
        <v>CZ</v>
      </c>
      <c r="I60" t="s">
        <v>2706</v>
      </c>
      <c r="K60" t="s">
        <v>3183</v>
      </c>
      <c r="S60">
        <v>2058</v>
      </c>
      <c r="Z60" t="s">
        <v>2762</v>
      </c>
      <c r="AA60" t="s">
        <v>4711</v>
      </c>
    </row>
    <row r="61" spans="1:27">
      <c r="A61" s="376" t="s">
        <v>292</v>
      </c>
      <c r="B61" t="s">
        <v>293</v>
      </c>
      <c r="C61" s="380" t="s">
        <v>3922</v>
      </c>
      <c r="D61" s="376" t="str">
        <f t="shared" si="0"/>
        <v>NACE B - 04 Mining of coal and lignite</v>
      </c>
      <c r="E61" s="377" t="s">
        <v>294</v>
      </c>
      <c r="F61" t="s">
        <v>295</v>
      </c>
      <c r="G61" t="str">
        <f t="shared" si="1"/>
        <v>DE</v>
      </c>
      <c r="I61" t="s">
        <v>2705</v>
      </c>
      <c r="K61" t="s">
        <v>2830</v>
      </c>
      <c r="S61">
        <v>2059</v>
      </c>
      <c r="Z61" t="s">
        <v>3222</v>
      </c>
      <c r="AA61" t="s">
        <v>4712</v>
      </c>
    </row>
    <row r="62" spans="1:27">
      <c r="A62" s="379" t="s">
        <v>296</v>
      </c>
      <c r="B62" t="s">
        <v>297</v>
      </c>
      <c r="C62" s="376" t="s">
        <v>3923</v>
      </c>
      <c r="D62" s="379" t="str">
        <f t="shared" si="0"/>
        <v>NACE B - 05.1 Mining of hard coal</v>
      </c>
      <c r="E62" s="377" t="s">
        <v>298</v>
      </c>
      <c r="F62" t="s">
        <v>299</v>
      </c>
      <c r="G62" t="str">
        <f t="shared" si="1"/>
        <v>DJ</v>
      </c>
      <c r="I62" t="s">
        <v>2704</v>
      </c>
      <c r="K62" t="s">
        <v>2831</v>
      </c>
      <c r="S62">
        <v>2060</v>
      </c>
      <c r="Z62" t="s">
        <v>3223</v>
      </c>
      <c r="AA62" t="s">
        <v>4713</v>
      </c>
    </row>
    <row r="63" spans="1:27">
      <c r="A63" s="380" t="s">
        <v>300</v>
      </c>
      <c r="B63" t="s">
        <v>301</v>
      </c>
      <c r="C63" s="379" t="s">
        <v>3924</v>
      </c>
      <c r="D63" s="380" t="str">
        <f t="shared" si="0"/>
        <v>NACE B - 05.10 Mining of hard coal</v>
      </c>
      <c r="E63" s="377" t="s">
        <v>302</v>
      </c>
      <c r="F63" t="s">
        <v>303</v>
      </c>
      <c r="G63" t="str">
        <f t="shared" si="1"/>
        <v>DK</v>
      </c>
      <c r="I63" t="s">
        <v>2703</v>
      </c>
      <c r="K63" t="s">
        <v>2832</v>
      </c>
      <c r="S63">
        <v>2061</v>
      </c>
      <c r="Z63" t="s">
        <v>3224</v>
      </c>
      <c r="AA63" t="s">
        <v>4714</v>
      </c>
    </row>
    <row r="64" spans="1:27">
      <c r="A64" s="379" t="s">
        <v>304</v>
      </c>
      <c r="B64" t="s">
        <v>305</v>
      </c>
      <c r="C64" s="379" t="s">
        <v>3925</v>
      </c>
      <c r="D64" s="379" t="str">
        <f t="shared" si="0"/>
        <v>NACE B - 05.2 Mining of lignite</v>
      </c>
      <c r="E64" s="377" t="s">
        <v>306</v>
      </c>
      <c r="F64" t="s">
        <v>307</v>
      </c>
      <c r="G64" t="str">
        <f t="shared" si="1"/>
        <v>DM</v>
      </c>
      <c r="I64" t="s">
        <v>4271</v>
      </c>
      <c r="K64" t="s">
        <v>2833</v>
      </c>
      <c r="S64">
        <v>2062</v>
      </c>
      <c r="Z64" t="s">
        <v>3225</v>
      </c>
      <c r="AA64" t="s">
        <v>4715</v>
      </c>
    </row>
    <row r="65" spans="1:27">
      <c r="A65" s="380" t="s">
        <v>308</v>
      </c>
      <c r="B65" t="s">
        <v>309</v>
      </c>
      <c r="C65" s="376" t="s">
        <v>3926</v>
      </c>
      <c r="D65" s="380" t="str">
        <f t="shared" si="0"/>
        <v>NACE B - 05.20 Mining of lignite</v>
      </c>
      <c r="E65" s="377" t="s">
        <v>310</v>
      </c>
      <c r="F65" t="s">
        <v>311</v>
      </c>
      <c r="G65" t="str">
        <f t="shared" si="1"/>
        <v>DO</v>
      </c>
      <c r="I65" t="s">
        <v>3798</v>
      </c>
      <c r="K65" t="s">
        <v>3184</v>
      </c>
      <c r="S65">
        <v>2063</v>
      </c>
      <c r="Z65" t="s">
        <v>3226</v>
      </c>
      <c r="AA65" t="s">
        <v>4716</v>
      </c>
    </row>
    <row r="66" spans="1:27">
      <c r="A66" s="376" t="s">
        <v>312</v>
      </c>
      <c r="B66" t="s">
        <v>313</v>
      </c>
      <c r="C66" s="379" t="s">
        <v>3927</v>
      </c>
      <c r="D66" s="376" t="str">
        <f t="shared" ref="D66:D129" si="2">_xlfn.CONCAT("NACE ", A66)</f>
        <v>NACE B - 05 Extraction of crude petroleum and natural gas</v>
      </c>
      <c r="E66" s="377" t="s">
        <v>314</v>
      </c>
      <c r="F66" t="s">
        <v>315</v>
      </c>
      <c r="G66" t="str">
        <f t="shared" si="1"/>
        <v>DZ</v>
      </c>
      <c r="I66" t="s">
        <v>4272</v>
      </c>
      <c r="K66" t="s">
        <v>2834</v>
      </c>
      <c r="S66">
        <v>2064</v>
      </c>
      <c r="Z66" t="s">
        <v>3227</v>
      </c>
      <c r="AA66" t="s">
        <v>4717</v>
      </c>
    </row>
    <row r="67" spans="1:27">
      <c r="A67" s="379" t="s">
        <v>316</v>
      </c>
      <c r="B67" t="s">
        <v>317</v>
      </c>
      <c r="C67" s="379" t="s">
        <v>3928</v>
      </c>
      <c r="D67" s="379" t="str">
        <f t="shared" si="2"/>
        <v>NACE B - 06.1 Extraction of crude petroleum</v>
      </c>
      <c r="E67" s="377" t="s">
        <v>318</v>
      </c>
      <c r="F67" t="s">
        <v>319</v>
      </c>
      <c r="G67" t="str">
        <f t="shared" ref="G67:G130" si="3">RIGHT(F67,2)</f>
        <v>EC</v>
      </c>
      <c r="I67" t="s">
        <v>2702</v>
      </c>
      <c r="K67" t="s">
        <v>2835</v>
      </c>
      <c r="S67">
        <v>2065</v>
      </c>
      <c r="Z67" t="s">
        <v>3228</v>
      </c>
      <c r="AA67" t="s">
        <v>4718</v>
      </c>
    </row>
    <row r="68" spans="1:27">
      <c r="A68" s="380" t="s">
        <v>320</v>
      </c>
      <c r="B68" t="s">
        <v>321</v>
      </c>
      <c r="C68" s="376" t="s">
        <v>3929</v>
      </c>
      <c r="D68" s="380" t="str">
        <f t="shared" si="2"/>
        <v>NACE B - 06.10 Extraction of crude petroleum</v>
      </c>
      <c r="E68" s="377" t="s">
        <v>322</v>
      </c>
      <c r="F68" t="s">
        <v>323</v>
      </c>
      <c r="G68" t="str">
        <f t="shared" si="3"/>
        <v>EE</v>
      </c>
      <c r="I68" t="s">
        <v>2701</v>
      </c>
      <c r="K68" t="s">
        <v>2836</v>
      </c>
      <c r="S68">
        <v>2066</v>
      </c>
      <c r="Z68" t="s">
        <v>3229</v>
      </c>
      <c r="AA68" t="s">
        <v>4719</v>
      </c>
    </row>
    <row r="69" spans="1:27">
      <c r="A69" s="379" t="s">
        <v>324</v>
      </c>
      <c r="B69" t="s">
        <v>325</v>
      </c>
      <c r="C69" s="379" t="s">
        <v>3930</v>
      </c>
      <c r="D69" s="379" t="str">
        <f t="shared" si="2"/>
        <v>NACE B - 06.2 Extraction of natural gas</v>
      </c>
      <c r="E69" s="377" t="s">
        <v>326</v>
      </c>
      <c r="F69" t="s">
        <v>327</v>
      </c>
      <c r="G69" t="str">
        <f t="shared" si="3"/>
        <v>EG</v>
      </c>
      <c r="I69" t="s">
        <v>2700</v>
      </c>
      <c r="K69" t="s">
        <v>2837</v>
      </c>
      <c r="S69">
        <v>2067</v>
      </c>
      <c r="Z69" t="s">
        <v>3230</v>
      </c>
      <c r="AA69" t="s">
        <v>4720</v>
      </c>
    </row>
    <row r="70" spans="1:27">
      <c r="A70" s="380" t="s">
        <v>328</v>
      </c>
      <c r="B70" t="s">
        <v>329</v>
      </c>
      <c r="C70" s="379" t="s">
        <v>3931</v>
      </c>
      <c r="D70" s="380" t="str">
        <f t="shared" si="2"/>
        <v>NACE B - 06.20 Extraction of natural gas</v>
      </c>
      <c r="E70" s="377" t="s">
        <v>330</v>
      </c>
      <c r="F70" t="s">
        <v>331</v>
      </c>
      <c r="G70" t="str">
        <f t="shared" si="3"/>
        <v>EH</v>
      </c>
      <c r="I70" t="s">
        <v>2699</v>
      </c>
      <c r="K70" t="s">
        <v>2838</v>
      </c>
      <c r="S70">
        <v>2068</v>
      </c>
      <c r="Z70" t="s">
        <v>3231</v>
      </c>
      <c r="AA70" t="s">
        <v>4721</v>
      </c>
    </row>
    <row r="71" spans="1:27">
      <c r="A71" s="376" t="s">
        <v>332</v>
      </c>
      <c r="B71" t="s">
        <v>333</v>
      </c>
      <c r="C71" s="376" t="s">
        <v>3932</v>
      </c>
      <c r="D71" s="376" t="str">
        <f t="shared" si="2"/>
        <v>NACE B - 06 Mining of metal ores</v>
      </c>
      <c r="E71" s="377" t="s">
        <v>334</v>
      </c>
      <c r="F71" t="s">
        <v>335</v>
      </c>
      <c r="G71" t="str">
        <f t="shared" si="3"/>
        <v>ER</v>
      </c>
      <c r="I71" t="s">
        <v>2698</v>
      </c>
      <c r="K71" t="s">
        <v>2839</v>
      </c>
      <c r="S71">
        <v>2069</v>
      </c>
      <c r="Z71" t="s">
        <v>3232</v>
      </c>
      <c r="AA71" t="s">
        <v>4722</v>
      </c>
    </row>
    <row r="72" spans="1:27">
      <c r="A72" s="379" t="s">
        <v>336</v>
      </c>
      <c r="B72" t="s">
        <v>337</v>
      </c>
      <c r="C72" s="379" t="s">
        <v>3933</v>
      </c>
      <c r="D72" s="379" t="str">
        <f t="shared" si="2"/>
        <v>NACE B - 07.1 Mining of iron ores</v>
      </c>
      <c r="E72" s="377" t="s">
        <v>338</v>
      </c>
      <c r="F72" t="s">
        <v>339</v>
      </c>
      <c r="G72" t="str">
        <f t="shared" si="3"/>
        <v>ES</v>
      </c>
      <c r="I72" t="s">
        <v>4273</v>
      </c>
      <c r="K72" t="s">
        <v>2755</v>
      </c>
      <c r="S72">
        <v>2070</v>
      </c>
      <c r="Z72" t="s">
        <v>3233</v>
      </c>
      <c r="AA72" t="s">
        <v>4723</v>
      </c>
    </row>
    <row r="73" spans="1:27">
      <c r="A73" s="380" t="s">
        <v>340</v>
      </c>
      <c r="B73" t="s">
        <v>341</v>
      </c>
      <c r="C73" s="379" t="s">
        <v>3934</v>
      </c>
      <c r="D73" s="380" t="str">
        <f t="shared" si="2"/>
        <v>NACE B - 07.10 Mining of iron ores</v>
      </c>
      <c r="E73" s="377" t="s">
        <v>342</v>
      </c>
      <c r="F73" t="s">
        <v>343</v>
      </c>
      <c r="G73" t="str">
        <f t="shared" si="3"/>
        <v>ET</v>
      </c>
      <c r="I73" t="s">
        <v>2697</v>
      </c>
      <c r="K73" t="s">
        <v>3185</v>
      </c>
      <c r="S73">
        <v>2071</v>
      </c>
      <c r="Z73" t="s">
        <v>3234</v>
      </c>
      <c r="AA73" t="s">
        <v>4724</v>
      </c>
    </row>
    <row r="74" spans="1:27">
      <c r="A74" s="379" t="s">
        <v>344</v>
      </c>
      <c r="B74" t="s">
        <v>345</v>
      </c>
      <c r="C74" s="376" t="s">
        <v>3935</v>
      </c>
      <c r="D74" s="379" t="str">
        <f t="shared" si="2"/>
        <v>NACE B - 07.2 Mining of non-ferrous metal ores</v>
      </c>
      <c r="E74" s="377" t="s">
        <v>346</v>
      </c>
      <c r="F74" t="s">
        <v>347</v>
      </c>
      <c r="G74" t="str">
        <f t="shared" si="3"/>
        <v>FI</v>
      </c>
      <c r="I74" t="s">
        <v>2696</v>
      </c>
      <c r="K74" t="s">
        <v>3324</v>
      </c>
      <c r="S74">
        <v>2072</v>
      </c>
      <c r="Z74" t="s">
        <v>2763</v>
      </c>
      <c r="AA74" t="s">
        <v>4725</v>
      </c>
    </row>
    <row r="75" spans="1:27">
      <c r="A75" s="380" t="s">
        <v>348</v>
      </c>
      <c r="B75" t="s">
        <v>349</v>
      </c>
      <c r="C75" s="379" t="s">
        <v>3936</v>
      </c>
      <c r="D75" s="380" t="str">
        <f t="shared" si="2"/>
        <v>NACE B - 07.21 Mining of uranium and thorium ores</v>
      </c>
      <c r="E75" s="377" t="s">
        <v>350</v>
      </c>
      <c r="F75" t="s">
        <v>351</v>
      </c>
      <c r="G75" t="str">
        <f t="shared" si="3"/>
        <v>FJ</v>
      </c>
      <c r="I75" t="s">
        <v>2695</v>
      </c>
      <c r="K75" t="s">
        <v>3325</v>
      </c>
      <c r="S75">
        <v>2073</v>
      </c>
      <c r="Z75" t="s">
        <v>3235</v>
      </c>
      <c r="AA75" t="s">
        <v>4726</v>
      </c>
    </row>
    <row r="76" spans="1:27">
      <c r="A76" s="380" t="s">
        <v>352</v>
      </c>
      <c r="B76" t="s">
        <v>353</v>
      </c>
      <c r="C76" s="379" t="s">
        <v>3937</v>
      </c>
      <c r="D76" s="380" t="str">
        <f t="shared" si="2"/>
        <v>NACE B - 07.29 Mining of other non-ferrous metal ores</v>
      </c>
      <c r="E76" s="377" t="s">
        <v>354</v>
      </c>
      <c r="F76" t="s">
        <v>355</v>
      </c>
      <c r="G76" t="str">
        <f t="shared" si="3"/>
        <v>FK</v>
      </c>
      <c r="I76" t="s">
        <v>2694</v>
      </c>
      <c r="K76" t="s">
        <v>3326</v>
      </c>
      <c r="S76">
        <v>2074</v>
      </c>
      <c r="Z76" t="s">
        <v>3236</v>
      </c>
      <c r="AA76" t="s">
        <v>4727</v>
      </c>
    </row>
    <row r="77" spans="1:27">
      <c r="A77" s="376" t="s">
        <v>356</v>
      </c>
      <c r="B77" t="s">
        <v>357</v>
      </c>
      <c r="C77" s="379" t="s">
        <v>3938</v>
      </c>
      <c r="D77" s="376" t="str">
        <f t="shared" si="2"/>
        <v>NACE B - 07 Other mining and quarrying</v>
      </c>
      <c r="E77" s="377" t="s">
        <v>358</v>
      </c>
      <c r="F77" t="s">
        <v>359</v>
      </c>
      <c r="G77" t="str">
        <f t="shared" si="3"/>
        <v>FM</v>
      </c>
      <c r="I77" t="s">
        <v>2693</v>
      </c>
      <c r="K77" t="s">
        <v>3327</v>
      </c>
      <c r="S77">
        <v>2075</v>
      </c>
      <c r="Z77" t="s">
        <v>3237</v>
      </c>
      <c r="AA77" t="s">
        <v>4728</v>
      </c>
    </row>
    <row r="78" spans="1:27">
      <c r="A78" s="379" t="s">
        <v>360</v>
      </c>
      <c r="B78" t="s">
        <v>361</v>
      </c>
      <c r="C78" s="379" t="s">
        <v>3939</v>
      </c>
      <c r="D78" s="379" t="str">
        <f t="shared" si="2"/>
        <v>NACE B - 08.1 Quarrying of stone, sand and clay</v>
      </c>
      <c r="E78" s="377" t="s">
        <v>362</v>
      </c>
      <c r="F78" t="s">
        <v>363</v>
      </c>
      <c r="G78" t="str">
        <f t="shared" si="3"/>
        <v>FO</v>
      </c>
      <c r="I78" t="s">
        <v>2692</v>
      </c>
      <c r="K78" t="s">
        <v>3186</v>
      </c>
      <c r="S78">
        <v>2076</v>
      </c>
      <c r="Z78" t="s">
        <v>3238</v>
      </c>
      <c r="AA78" t="s">
        <v>4729</v>
      </c>
    </row>
    <row r="79" spans="1:27">
      <c r="A79" s="380" t="s">
        <v>364</v>
      </c>
      <c r="B79" t="s">
        <v>365</v>
      </c>
      <c r="C79" s="379" t="s">
        <v>3940</v>
      </c>
      <c r="D79" s="380" t="str">
        <f t="shared" si="2"/>
        <v>NACE B - 08.11 Quarrying of ornamental stone, limestone, gypsum, slate and other stone</v>
      </c>
      <c r="E79" s="377" t="s">
        <v>366</v>
      </c>
      <c r="F79" t="s">
        <v>367</v>
      </c>
      <c r="G79" t="str">
        <f t="shared" si="3"/>
        <v>FR</v>
      </c>
      <c r="I79" t="s">
        <v>2691</v>
      </c>
      <c r="K79" t="s">
        <v>2840</v>
      </c>
      <c r="S79">
        <v>2077</v>
      </c>
      <c r="Z79" t="s">
        <v>2764</v>
      </c>
      <c r="AA79" t="s">
        <v>4730</v>
      </c>
    </row>
    <row r="80" spans="1:27">
      <c r="A80" s="380" t="s">
        <v>368</v>
      </c>
      <c r="B80" t="s">
        <v>369</v>
      </c>
      <c r="C80" s="379" t="s">
        <v>3941</v>
      </c>
      <c r="D80" s="380" t="str">
        <f t="shared" si="2"/>
        <v>NACE B - 08.12 Operation of gravel and sand pits and mining of clay and kaolin</v>
      </c>
      <c r="E80" s="377" t="s">
        <v>370</v>
      </c>
      <c r="F80" t="s">
        <v>371</v>
      </c>
      <c r="G80" t="str">
        <f t="shared" si="3"/>
        <v>GA</v>
      </c>
      <c r="I80" t="s">
        <v>4281</v>
      </c>
      <c r="K80" t="s">
        <v>2841</v>
      </c>
      <c r="S80">
        <v>2078</v>
      </c>
      <c r="Z80" t="s">
        <v>3239</v>
      </c>
      <c r="AA80" t="s">
        <v>4731</v>
      </c>
    </row>
    <row r="81" spans="1:27">
      <c r="A81" s="379" t="s">
        <v>372</v>
      </c>
      <c r="B81" t="s">
        <v>373</v>
      </c>
      <c r="C81" s="376" t="s">
        <v>3942</v>
      </c>
      <c r="D81" s="379" t="str">
        <f t="shared" si="2"/>
        <v>NACE B - 08.9 Mining and quarrying n.e.c.</v>
      </c>
      <c r="E81" s="377" t="s">
        <v>374</v>
      </c>
      <c r="F81" t="s">
        <v>375</v>
      </c>
      <c r="G81" t="str">
        <f t="shared" si="3"/>
        <v>GB</v>
      </c>
      <c r="I81" t="s">
        <v>2690</v>
      </c>
      <c r="K81" t="s">
        <v>2842</v>
      </c>
      <c r="S81">
        <v>2079</v>
      </c>
      <c r="Z81" t="s">
        <v>3240</v>
      </c>
      <c r="AA81" t="s">
        <v>4732</v>
      </c>
    </row>
    <row r="82" spans="1:27">
      <c r="A82" s="380" t="s">
        <v>376</v>
      </c>
      <c r="B82" t="s">
        <v>377</v>
      </c>
      <c r="C82" s="379" t="s">
        <v>3943</v>
      </c>
      <c r="D82" s="380" t="str">
        <f t="shared" si="2"/>
        <v>NACE B - 08.91 Mining of chemical and fertiliser minerals</v>
      </c>
      <c r="E82" s="377" t="s">
        <v>378</v>
      </c>
      <c r="F82" t="s">
        <v>379</v>
      </c>
      <c r="G82" t="str">
        <f t="shared" si="3"/>
        <v>GD</v>
      </c>
      <c r="I82" t="s">
        <v>2689</v>
      </c>
      <c r="K82" t="s">
        <v>2843</v>
      </c>
      <c r="S82">
        <v>2080</v>
      </c>
      <c r="Z82" t="s">
        <v>3241</v>
      </c>
      <c r="AA82" t="s">
        <v>4733</v>
      </c>
    </row>
    <row r="83" spans="1:27">
      <c r="A83" s="380" t="s">
        <v>380</v>
      </c>
      <c r="B83" t="s">
        <v>381</v>
      </c>
      <c r="C83" s="379" t="s">
        <v>3944</v>
      </c>
      <c r="D83" s="380" t="str">
        <f t="shared" si="2"/>
        <v>NACE B - 08.92 Extraction of peat</v>
      </c>
      <c r="E83" s="377" t="s">
        <v>382</v>
      </c>
      <c r="F83" t="s">
        <v>383</v>
      </c>
      <c r="G83" t="str">
        <f t="shared" si="3"/>
        <v>GE</v>
      </c>
      <c r="I83" t="s">
        <v>4274</v>
      </c>
      <c r="K83" t="s">
        <v>3187</v>
      </c>
      <c r="S83">
        <v>2081</v>
      </c>
      <c r="Z83" t="s">
        <v>2765</v>
      </c>
      <c r="AA83" t="s">
        <v>4734</v>
      </c>
    </row>
    <row r="84" spans="1:27">
      <c r="A84" s="380" t="s">
        <v>384</v>
      </c>
      <c r="B84" t="s">
        <v>385</v>
      </c>
      <c r="C84" s="376" t="s">
        <v>3945</v>
      </c>
      <c r="D84" s="380" t="str">
        <f t="shared" si="2"/>
        <v>NACE B - 08.93 Extraction of salt</v>
      </c>
      <c r="E84" s="377" t="s">
        <v>386</v>
      </c>
      <c r="F84" t="s">
        <v>387</v>
      </c>
      <c r="G84" t="str">
        <f t="shared" si="3"/>
        <v>GF</v>
      </c>
      <c r="I84" t="s">
        <v>2688</v>
      </c>
      <c r="K84" t="s">
        <v>2844</v>
      </c>
      <c r="S84">
        <v>2082</v>
      </c>
      <c r="Z84" t="s">
        <v>3242</v>
      </c>
      <c r="AA84" t="s">
        <v>4735</v>
      </c>
    </row>
    <row r="85" spans="1:27">
      <c r="A85" s="380" t="s">
        <v>388</v>
      </c>
      <c r="B85" t="s">
        <v>389</v>
      </c>
      <c r="C85" s="379" t="s">
        <v>3946</v>
      </c>
      <c r="D85" s="380" t="str">
        <f t="shared" si="2"/>
        <v>NACE B - 08.99 Other mining and quarrying n.e.c.</v>
      </c>
      <c r="E85" s="377" t="s">
        <v>390</v>
      </c>
      <c r="F85" t="s">
        <v>391</v>
      </c>
      <c r="G85" t="str">
        <f t="shared" si="3"/>
        <v>GG</v>
      </c>
      <c r="I85" t="s">
        <v>2687</v>
      </c>
      <c r="K85" t="s">
        <v>2845</v>
      </c>
      <c r="S85">
        <v>2083</v>
      </c>
      <c r="Z85" t="s">
        <v>3243</v>
      </c>
      <c r="AA85" t="s">
        <v>4736</v>
      </c>
    </row>
    <row r="86" spans="1:27">
      <c r="A86" s="376" t="s">
        <v>392</v>
      </c>
      <c r="B86" t="s">
        <v>393</v>
      </c>
      <c r="C86" s="379" t="s">
        <v>3947</v>
      </c>
      <c r="D86" s="376" t="str">
        <f t="shared" si="2"/>
        <v>NACE B - 08 Mining support service activities</v>
      </c>
      <c r="E86" s="377" t="s">
        <v>394</v>
      </c>
      <c r="F86" t="s">
        <v>395</v>
      </c>
      <c r="G86" t="str">
        <f t="shared" si="3"/>
        <v>GH</v>
      </c>
      <c r="I86" t="s">
        <v>2686</v>
      </c>
      <c r="K86" t="s">
        <v>2846</v>
      </c>
      <c r="S86">
        <v>2084</v>
      </c>
      <c r="Z86" t="s">
        <v>3244</v>
      </c>
      <c r="AA86" t="s">
        <v>4737</v>
      </c>
    </row>
    <row r="87" spans="1:27">
      <c r="A87" s="379" t="s">
        <v>396</v>
      </c>
      <c r="B87" t="s">
        <v>397</v>
      </c>
      <c r="C87" s="376" t="s">
        <v>3948</v>
      </c>
      <c r="D87" s="379" t="str">
        <f t="shared" si="2"/>
        <v>NACE B - 09.1 Support activities for petroleum and natural gas extraction</v>
      </c>
      <c r="E87" s="377" t="s">
        <v>398</v>
      </c>
      <c r="F87" t="s">
        <v>399</v>
      </c>
      <c r="G87" t="str">
        <f t="shared" si="3"/>
        <v>GI</v>
      </c>
      <c r="I87" t="s">
        <v>2685</v>
      </c>
      <c r="K87" t="s">
        <v>2847</v>
      </c>
      <c r="S87">
        <v>2085</v>
      </c>
      <c r="Z87" t="s">
        <v>3245</v>
      </c>
      <c r="AA87" t="s">
        <v>4738</v>
      </c>
    </row>
    <row r="88" spans="1:27">
      <c r="A88" s="380" t="s">
        <v>400</v>
      </c>
      <c r="B88" t="s">
        <v>401</v>
      </c>
      <c r="C88" s="379" t="s">
        <v>3949</v>
      </c>
      <c r="D88" s="380" t="str">
        <f t="shared" si="2"/>
        <v>NACE B - 09.10 Support activities for petroleum and natural gas extraction</v>
      </c>
      <c r="E88" s="377" t="s">
        <v>402</v>
      </c>
      <c r="F88" t="s">
        <v>403</v>
      </c>
      <c r="G88" t="str">
        <f t="shared" si="3"/>
        <v>GL</v>
      </c>
      <c r="I88" t="s">
        <v>4282</v>
      </c>
      <c r="K88" t="s">
        <v>2848</v>
      </c>
      <c r="S88">
        <v>2086</v>
      </c>
      <c r="Z88" t="s">
        <v>3246</v>
      </c>
      <c r="AA88" t="s">
        <v>4739</v>
      </c>
    </row>
    <row r="89" spans="1:27">
      <c r="A89" s="379" t="s">
        <v>404</v>
      </c>
      <c r="B89" t="s">
        <v>405</v>
      </c>
      <c r="C89" s="379" t="s">
        <v>3950</v>
      </c>
      <c r="D89" s="379" t="str">
        <f t="shared" si="2"/>
        <v>NACE B - 09.9 Support activities for other mining and quarrying</v>
      </c>
      <c r="E89" s="377" t="s">
        <v>406</v>
      </c>
      <c r="F89" t="s">
        <v>407</v>
      </c>
      <c r="G89" t="str">
        <f t="shared" si="3"/>
        <v>GM</v>
      </c>
      <c r="I89" t="s">
        <v>2684</v>
      </c>
      <c r="K89" t="s">
        <v>2849</v>
      </c>
      <c r="S89">
        <v>2087</v>
      </c>
      <c r="Z89" t="s">
        <v>3247</v>
      </c>
      <c r="AA89" t="s">
        <v>4740</v>
      </c>
    </row>
    <row r="90" spans="1:27">
      <c r="A90" s="380" t="s">
        <v>408</v>
      </c>
      <c r="B90" t="s">
        <v>409</v>
      </c>
      <c r="C90" s="379" t="s">
        <v>3951</v>
      </c>
      <c r="D90" s="380" t="str">
        <f t="shared" si="2"/>
        <v>NACE B - 09.90 Support activities for other mining and quarrying</v>
      </c>
      <c r="E90" s="377" t="s">
        <v>410</v>
      </c>
      <c r="F90" t="s">
        <v>411</v>
      </c>
      <c r="G90" t="str">
        <f t="shared" si="3"/>
        <v>GN</v>
      </c>
      <c r="I90" t="s">
        <v>2683</v>
      </c>
      <c r="K90" t="s">
        <v>2850</v>
      </c>
      <c r="S90">
        <v>2088</v>
      </c>
      <c r="Z90" t="s">
        <v>3530</v>
      </c>
      <c r="AA90" t="s">
        <v>4741</v>
      </c>
    </row>
    <row r="91" spans="1:27">
      <c r="A91" s="377" t="s">
        <v>412</v>
      </c>
      <c r="B91" t="s">
        <v>413</v>
      </c>
      <c r="C91" s="379" t="s">
        <v>3952</v>
      </c>
      <c r="D91" s="377" t="str">
        <f t="shared" si="2"/>
        <v>NACE C - MANUFACTURING</v>
      </c>
      <c r="E91" s="377" t="s">
        <v>414</v>
      </c>
      <c r="F91" t="s">
        <v>415</v>
      </c>
      <c r="G91" t="str">
        <f t="shared" si="3"/>
        <v>GP</v>
      </c>
      <c r="I91" t="s">
        <v>2682</v>
      </c>
      <c r="K91" t="s">
        <v>2851</v>
      </c>
      <c r="S91">
        <v>2089</v>
      </c>
      <c r="Z91" t="s">
        <v>3248</v>
      </c>
      <c r="AA91" t="s">
        <v>4742</v>
      </c>
    </row>
    <row r="92" spans="1:27">
      <c r="A92" s="376" t="s">
        <v>416</v>
      </c>
      <c r="B92" t="s">
        <v>417</v>
      </c>
      <c r="C92" s="379" t="s">
        <v>3953</v>
      </c>
      <c r="D92" s="376" t="str">
        <f t="shared" si="2"/>
        <v>NACE C - 10 Manufacture of food products</v>
      </c>
      <c r="E92" s="377" t="s">
        <v>418</v>
      </c>
      <c r="F92" t="s">
        <v>419</v>
      </c>
      <c r="G92" t="str">
        <f t="shared" si="3"/>
        <v>GQ</v>
      </c>
      <c r="I92" t="s">
        <v>2681</v>
      </c>
      <c r="K92" t="s">
        <v>2756</v>
      </c>
      <c r="S92">
        <v>2090</v>
      </c>
      <c r="Z92" t="s">
        <v>3249</v>
      </c>
      <c r="AA92" t="s">
        <v>4743</v>
      </c>
    </row>
    <row r="93" spans="1:27">
      <c r="A93" s="379" t="s">
        <v>420</v>
      </c>
      <c r="B93" t="s">
        <v>421</v>
      </c>
      <c r="C93" s="379" t="s">
        <v>3954</v>
      </c>
      <c r="D93" s="379" t="str">
        <f t="shared" si="2"/>
        <v>NACE C - 10.1 Processing and preserving of meat and production of meat products</v>
      </c>
      <c r="E93" s="377" t="s">
        <v>422</v>
      </c>
      <c r="F93" t="s">
        <v>423</v>
      </c>
      <c r="G93" t="str">
        <f t="shared" si="3"/>
        <v>GR</v>
      </c>
      <c r="I93" t="s">
        <v>2680</v>
      </c>
      <c r="K93" t="s">
        <v>3188</v>
      </c>
      <c r="S93">
        <v>2091</v>
      </c>
      <c r="Z93" t="s">
        <v>3250</v>
      </c>
      <c r="AA93" t="s">
        <v>4744</v>
      </c>
    </row>
    <row r="94" spans="1:27">
      <c r="A94" s="380" t="s">
        <v>424</v>
      </c>
      <c r="B94" t="s">
        <v>425</v>
      </c>
      <c r="C94" s="379" t="s">
        <v>3955</v>
      </c>
      <c r="D94" s="380" t="str">
        <f t="shared" si="2"/>
        <v>NACE C - 10.11 Processing and preserving of meat, except of poultry meat</v>
      </c>
      <c r="E94" s="377" t="s">
        <v>426</v>
      </c>
      <c r="F94" t="s">
        <v>427</v>
      </c>
      <c r="G94" t="str">
        <f t="shared" si="3"/>
        <v>GS</v>
      </c>
      <c r="I94" t="s">
        <v>2679</v>
      </c>
      <c r="K94" t="s">
        <v>2852</v>
      </c>
      <c r="S94">
        <v>2092</v>
      </c>
      <c r="Z94" t="s">
        <v>3251</v>
      </c>
      <c r="AA94" t="s">
        <v>4745</v>
      </c>
    </row>
    <row r="95" spans="1:27">
      <c r="A95" s="380" t="s">
        <v>428</v>
      </c>
      <c r="B95" t="s">
        <v>429</v>
      </c>
      <c r="C95" s="379" t="s">
        <v>3956</v>
      </c>
      <c r="D95" s="380" t="str">
        <f t="shared" si="2"/>
        <v>NACE C - 10.12 Processing and preserving of poultry meat</v>
      </c>
      <c r="E95" s="377" t="s">
        <v>430</v>
      </c>
      <c r="F95" t="s">
        <v>431</v>
      </c>
      <c r="G95" t="str">
        <f t="shared" si="3"/>
        <v>GT</v>
      </c>
      <c r="I95" t="s">
        <v>4275</v>
      </c>
      <c r="K95" t="s">
        <v>2853</v>
      </c>
      <c r="S95">
        <v>2093</v>
      </c>
      <c r="Z95" t="s">
        <v>3252</v>
      </c>
      <c r="AA95" t="s">
        <v>4746</v>
      </c>
    </row>
    <row r="96" spans="1:27">
      <c r="A96" s="380" t="s">
        <v>432</v>
      </c>
      <c r="B96" t="s">
        <v>433</v>
      </c>
      <c r="C96" s="376" t="s">
        <v>3957</v>
      </c>
      <c r="D96" s="380" t="str">
        <f t="shared" si="2"/>
        <v>NACE C - 10.13 Production of meat and poultry meat products</v>
      </c>
      <c r="E96" s="377" t="s">
        <v>434</v>
      </c>
      <c r="F96" t="s">
        <v>435</v>
      </c>
      <c r="G96" t="str">
        <f t="shared" si="3"/>
        <v>GU</v>
      </c>
      <c r="K96" t="s">
        <v>3328</v>
      </c>
      <c r="S96">
        <v>2094</v>
      </c>
      <c r="Z96" t="s">
        <v>2766</v>
      </c>
      <c r="AA96" t="s">
        <v>4747</v>
      </c>
    </row>
    <row r="97" spans="1:27">
      <c r="A97" s="379" t="s">
        <v>436</v>
      </c>
      <c r="B97" t="s">
        <v>437</v>
      </c>
      <c r="C97" s="379" t="s">
        <v>3958</v>
      </c>
      <c r="D97" s="379" t="str">
        <f t="shared" si="2"/>
        <v>NACE C - 10.2 Processing and preserving of fish, crustaceans and molluscs</v>
      </c>
      <c r="E97" s="377" t="s">
        <v>438</v>
      </c>
      <c r="F97" t="s">
        <v>439</v>
      </c>
      <c r="G97" t="str">
        <f t="shared" si="3"/>
        <v>GW</v>
      </c>
      <c r="K97" t="s">
        <v>2854</v>
      </c>
      <c r="S97">
        <v>2095</v>
      </c>
      <c r="Z97" t="s">
        <v>3253</v>
      </c>
      <c r="AA97" t="s">
        <v>4748</v>
      </c>
    </row>
    <row r="98" spans="1:27">
      <c r="A98" s="380" t="s">
        <v>440</v>
      </c>
      <c r="B98" t="s">
        <v>441</v>
      </c>
      <c r="C98" s="379" t="s">
        <v>3959</v>
      </c>
      <c r="D98" s="380" t="str">
        <f t="shared" si="2"/>
        <v>NACE C - 10.20 Processing and preserving of fish, crustaceans and molluscs</v>
      </c>
      <c r="E98" s="377" t="s">
        <v>442</v>
      </c>
      <c r="F98" t="s">
        <v>443</v>
      </c>
      <c r="G98" t="str">
        <f t="shared" si="3"/>
        <v>GY</v>
      </c>
      <c r="K98" t="s">
        <v>2855</v>
      </c>
      <c r="S98">
        <v>2096</v>
      </c>
      <c r="Z98" t="s">
        <v>3254</v>
      </c>
      <c r="AA98" t="s">
        <v>4749</v>
      </c>
    </row>
    <row r="99" spans="1:27">
      <c r="A99" s="379" t="s">
        <v>444</v>
      </c>
      <c r="B99" t="s">
        <v>445</v>
      </c>
      <c r="C99" s="379" t="s">
        <v>3960</v>
      </c>
      <c r="D99" s="379" t="str">
        <f t="shared" si="2"/>
        <v>NACE C - 10.3 Processing and preserving of fruit and vegetables</v>
      </c>
      <c r="E99" s="377" t="s">
        <v>446</v>
      </c>
      <c r="F99" t="s">
        <v>447</v>
      </c>
      <c r="G99" t="str">
        <f t="shared" si="3"/>
        <v>HK</v>
      </c>
      <c r="K99" t="s">
        <v>2856</v>
      </c>
      <c r="S99">
        <v>2097</v>
      </c>
      <c r="Z99" t="s">
        <v>2767</v>
      </c>
      <c r="AA99" t="s">
        <v>4750</v>
      </c>
    </row>
    <row r="100" spans="1:27">
      <c r="A100" s="380" t="s">
        <v>448</v>
      </c>
      <c r="B100" t="s">
        <v>449</v>
      </c>
      <c r="C100" s="379" t="s">
        <v>3961</v>
      </c>
      <c r="D100" s="380" t="str">
        <f t="shared" si="2"/>
        <v>NACE C - 10.31 Processing and preserving of potatoes</v>
      </c>
      <c r="E100" s="377" t="s">
        <v>450</v>
      </c>
      <c r="F100" t="s">
        <v>451</v>
      </c>
      <c r="G100" t="str">
        <f t="shared" si="3"/>
        <v>HM</v>
      </c>
      <c r="K100" t="s">
        <v>2857</v>
      </c>
      <c r="S100">
        <v>2098</v>
      </c>
      <c r="Z100" t="s">
        <v>3255</v>
      </c>
      <c r="AA100" t="s">
        <v>4751</v>
      </c>
    </row>
    <row r="101" spans="1:27">
      <c r="A101" s="380" t="s">
        <v>452</v>
      </c>
      <c r="B101" t="s">
        <v>453</v>
      </c>
      <c r="C101" s="379" t="s">
        <v>3962</v>
      </c>
      <c r="D101" s="380" t="str">
        <f t="shared" si="2"/>
        <v>NACE C - 10.32 Manufacture of fruit and vegetable juice</v>
      </c>
      <c r="E101" s="377" t="s">
        <v>454</v>
      </c>
      <c r="F101" t="s">
        <v>455</v>
      </c>
      <c r="G101" t="str">
        <f t="shared" si="3"/>
        <v>HN</v>
      </c>
      <c r="K101" t="s">
        <v>2858</v>
      </c>
      <c r="S101">
        <v>2099</v>
      </c>
      <c r="Z101" t="s">
        <v>3256</v>
      </c>
      <c r="AA101" t="s">
        <v>4752</v>
      </c>
    </row>
    <row r="102" spans="1:27">
      <c r="A102" s="380" t="s">
        <v>456</v>
      </c>
      <c r="B102" t="s">
        <v>457</v>
      </c>
      <c r="C102" s="376" t="s">
        <v>3963</v>
      </c>
      <c r="D102" s="380" t="str">
        <f t="shared" si="2"/>
        <v>NACE C - 10.39 Other processing and preserving of fruit and vegetables</v>
      </c>
      <c r="E102" s="377" t="s">
        <v>458</v>
      </c>
      <c r="F102" t="s">
        <v>459</v>
      </c>
      <c r="G102" t="str">
        <f t="shared" si="3"/>
        <v>HR</v>
      </c>
      <c r="K102" t="s">
        <v>2859</v>
      </c>
      <c r="S102">
        <v>2100</v>
      </c>
      <c r="Z102" t="s">
        <v>3257</v>
      </c>
      <c r="AA102" t="s">
        <v>4753</v>
      </c>
    </row>
    <row r="103" spans="1:27">
      <c r="A103" s="379" t="s">
        <v>460</v>
      </c>
      <c r="B103" t="s">
        <v>461</v>
      </c>
      <c r="C103" s="379" t="s">
        <v>3964</v>
      </c>
      <c r="D103" s="379" t="str">
        <f t="shared" si="2"/>
        <v>NACE C - 10.4 Manufacture of vegetable and animal oils and fats</v>
      </c>
      <c r="E103" s="377" t="s">
        <v>462</v>
      </c>
      <c r="F103" t="s">
        <v>463</v>
      </c>
      <c r="G103" t="str">
        <f t="shared" si="3"/>
        <v>HT</v>
      </c>
      <c r="K103" t="s">
        <v>2860</v>
      </c>
      <c r="Z103" t="s">
        <v>3258</v>
      </c>
      <c r="AA103" t="s">
        <v>4754</v>
      </c>
    </row>
    <row r="104" spans="1:27">
      <c r="A104" s="380" t="s">
        <v>464</v>
      </c>
      <c r="B104" t="s">
        <v>465</v>
      </c>
      <c r="C104" s="379" t="s">
        <v>3965</v>
      </c>
      <c r="D104" s="380" t="str">
        <f t="shared" si="2"/>
        <v>NACE C - 10.41 Manufacture of oils and fats</v>
      </c>
      <c r="E104" s="377" t="s">
        <v>466</v>
      </c>
      <c r="F104" t="s">
        <v>467</v>
      </c>
      <c r="G104" t="str">
        <f t="shared" si="3"/>
        <v>HU</v>
      </c>
      <c r="K104" t="s">
        <v>3189</v>
      </c>
      <c r="Z104" t="s">
        <v>3259</v>
      </c>
      <c r="AA104" t="s">
        <v>4755</v>
      </c>
    </row>
    <row r="105" spans="1:27">
      <c r="A105" s="380" t="s">
        <v>468</v>
      </c>
      <c r="B105" t="s">
        <v>469</v>
      </c>
      <c r="C105" s="379" t="s">
        <v>3966</v>
      </c>
      <c r="D105" s="380" t="str">
        <f t="shared" si="2"/>
        <v>NACE C - 10.42 Manufacture of margarine and similar edible fats</v>
      </c>
      <c r="E105" s="377" t="s">
        <v>470</v>
      </c>
      <c r="F105" t="s">
        <v>471</v>
      </c>
      <c r="G105" t="str">
        <f t="shared" si="3"/>
        <v>ID</v>
      </c>
      <c r="K105" t="s">
        <v>2861</v>
      </c>
      <c r="Z105" t="s">
        <v>3260</v>
      </c>
      <c r="AA105" t="s">
        <v>4756</v>
      </c>
    </row>
    <row r="106" spans="1:27">
      <c r="A106" s="379" t="s">
        <v>472</v>
      </c>
      <c r="B106" t="s">
        <v>473</v>
      </c>
      <c r="C106" s="379" t="s">
        <v>3967</v>
      </c>
      <c r="D106" s="379" t="str">
        <f t="shared" si="2"/>
        <v>NACE C - 10.5 Manufacture of dairy products and edible ice</v>
      </c>
      <c r="E106" s="377" t="s">
        <v>474</v>
      </c>
      <c r="F106" t="s">
        <v>475</v>
      </c>
      <c r="G106" t="str">
        <f t="shared" si="3"/>
        <v>IE</v>
      </c>
      <c r="K106" t="s">
        <v>2862</v>
      </c>
      <c r="Z106" t="s">
        <v>3261</v>
      </c>
      <c r="AA106" t="s">
        <v>4757</v>
      </c>
    </row>
    <row r="107" spans="1:27">
      <c r="A107" s="380" t="s">
        <v>476</v>
      </c>
      <c r="B107" t="s">
        <v>477</v>
      </c>
      <c r="C107" s="379" t="s">
        <v>3968</v>
      </c>
      <c r="D107" s="380" t="str">
        <f t="shared" si="2"/>
        <v>NACE C - 10.51 Manufacture of dairy products</v>
      </c>
      <c r="E107" s="377" t="s">
        <v>478</v>
      </c>
      <c r="F107" t="s">
        <v>479</v>
      </c>
      <c r="G107" t="str">
        <f t="shared" si="3"/>
        <v>IL</v>
      </c>
      <c r="K107" t="s">
        <v>2863</v>
      </c>
      <c r="Z107" t="s">
        <v>3262</v>
      </c>
      <c r="AA107" t="s">
        <v>4758</v>
      </c>
    </row>
    <row r="108" spans="1:27">
      <c r="A108" s="380" t="s">
        <v>480</v>
      </c>
      <c r="B108" t="s">
        <v>481</v>
      </c>
      <c r="C108" s="379" t="s">
        <v>3969</v>
      </c>
      <c r="D108" s="380" t="str">
        <f t="shared" si="2"/>
        <v>NACE C - 10.52 Manufacture of ice cream and other edible ice</v>
      </c>
      <c r="E108" s="377" t="s">
        <v>482</v>
      </c>
      <c r="F108" t="s">
        <v>483</v>
      </c>
      <c r="G108" t="str">
        <f t="shared" si="3"/>
        <v>IM</v>
      </c>
      <c r="K108" t="s">
        <v>2864</v>
      </c>
      <c r="Z108" t="s">
        <v>2768</v>
      </c>
      <c r="AA108" t="s">
        <v>4759</v>
      </c>
    </row>
    <row r="109" spans="1:27">
      <c r="A109" s="379" t="s">
        <v>484</v>
      </c>
      <c r="B109" t="s">
        <v>485</v>
      </c>
      <c r="C109" s="379" t="s">
        <v>3970</v>
      </c>
      <c r="D109" s="379" t="str">
        <f t="shared" si="2"/>
        <v>NACE C - 10.6 Manufacture of grain mill products, starches and starch products</v>
      </c>
      <c r="E109" s="377" t="s">
        <v>486</v>
      </c>
      <c r="F109" t="s">
        <v>487</v>
      </c>
      <c r="G109" t="str">
        <f t="shared" si="3"/>
        <v>IN</v>
      </c>
      <c r="K109" t="s">
        <v>2865</v>
      </c>
      <c r="Z109" t="s">
        <v>3263</v>
      </c>
      <c r="AA109" t="s">
        <v>4760</v>
      </c>
    </row>
    <row r="110" spans="1:27">
      <c r="A110" s="380" t="s">
        <v>488</v>
      </c>
      <c r="B110" t="s">
        <v>489</v>
      </c>
      <c r="C110" s="376" t="s">
        <v>3971</v>
      </c>
      <c r="D110" s="380" t="str">
        <f t="shared" si="2"/>
        <v>NACE C - 10.61 Manufacture of grain mill products</v>
      </c>
      <c r="E110" s="377" t="s">
        <v>490</v>
      </c>
      <c r="F110" t="s">
        <v>491</v>
      </c>
      <c r="G110" t="str">
        <f t="shared" si="3"/>
        <v>IO</v>
      </c>
      <c r="K110" t="s">
        <v>2866</v>
      </c>
      <c r="Z110" t="s">
        <v>3264</v>
      </c>
      <c r="AA110" t="s">
        <v>4761</v>
      </c>
    </row>
    <row r="111" spans="1:27">
      <c r="A111" s="380" t="s">
        <v>492</v>
      </c>
      <c r="B111" t="s">
        <v>493</v>
      </c>
      <c r="C111" s="379" t="s">
        <v>3972</v>
      </c>
      <c r="D111" s="380" t="str">
        <f t="shared" si="2"/>
        <v>NACE C - 10.62 Manufacture of starches and starch products</v>
      </c>
      <c r="E111" s="377" t="s">
        <v>494</v>
      </c>
      <c r="F111" t="s">
        <v>495</v>
      </c>
      <c r="G111" t="str">
        <f t="shared" si="3"/>
        <v>IQ</v>
      </c>
      <c r="K111" t="s">
        <v>2867</v>
      </c>
      <c r="Z111" t="s">
        <v>3265</v>
      </c>
      <c r="AA111" t="s">
        <v>4762</v>
      </c>
    </row>
    <row r="112" spans="1:27">
      <c r="A112" s="379" t="s">
        <v>496</v>
      </c>
      <c r="B112" t="s">
        <v>497</v>
      </c>
      <c r="C112" s="379" t="s">
        <v>3973</v>
      </c>
      <c r="D112" s="379" t="str">
        <f t="shared" si="2"/>
        <v>NACE C - 10.7 Manufacture of bakery and farinaceous products</v>
      </c>
      <c r="E112" s="377" t="s">
        <v>498</v>
      </c>
      <c r="F112" t="s">
        <v>499</v>
      </c>
      <c r="G112" t="str">
        <f t="shared" si="3"/>
        <v>IR</v>
      </c>
      <c r="K112" t="s">
        <v>2868</v>
      </c>
      <c r="Z112" t="s">
        <v>3266</v>
      </c>
      <c r="AA112" t="s">
        <v>4763</v>
      </c>
    </row>
    <row r="113" spans="1:27">
      <c r="A113" s="380" t="s">
        <v>500</v>
      </c>
      <c r="B113" t="s">
        <v>501</v>
      </c>
      <c r="C113" s="379" t="s">
        <v>3974</v>
      </c>
      <c r="D113" s="380" t="str">
        <f t="shared" si="2"/>
        <v>NACE C - 10.71 Manufacture of bread; manufacture of fresh pastry goods and cakes</v>
      </c>
      <c r="E113" s="377" t="s">
        <v>502</v>
      </c>
      <c r="F113" t="s">
        <v>503</v>
      </c>
      <c r="G113" t="str">
        <f t="shared" si="3"/>
        <v>IS</v>
      </c>
      <c r="K113" t="s">
        <v>2869</v>
      </c>
      <c r="Z113" t="s">
        <v>3267</v>
      </c>
      <c r="AA113" t="s">
        <v>4764</v>
      </c>
    </row>
    <row r="114" spans="1:27">
      <c r="A114" s="380" t="s">
        <v>504</v>
      </c>
      <c r="B114" t="s">
        <v>505</v>
      </c>
      <c r="C114" s="379" t="s">
        <v>3975</v>
      </c>
      <c r="D114" s="380" t="str">
        <f t="shared" si="2"/>
        <v>NACE C - 10.72 Manufacture of rusks, biscuits, preserved pastries and cakes</v>
      </c>
      <c r="E114" s="377" t="s">
        <v>506</v>
      </c>
      <c r="F114" t="s">
        <v>507</v>
      </c>
      <c r="G114" t="str">
        <f t="shared" si="3"/>
        <v>IT</v>
      </c>
      <c r="K114" t="s">
        <v>2870</v>
      </c>
      <c r="Z114" t="s">
        <v>3268</v>
      </c>
      <c r="AA114" t="s">
        <v>4765</v>
      </c>
    </row>
    <row r="115" spans="1:27">
      <c r="A115" s="380" t="s">
        <v>508</v>
      </c>
      <c r="B115" t="s">
        <v>509</v>
      </c>
      <c r="C115" s="379" t="s">
        <v>3976</v>
      </c>
      <c r="D115" s="380" t="str">
        <f t="shared" si="2"/>
        <v>NACE C - 10.73 Manufacture of farinaceous products</v>
      </c>
      <c r="E115" s="377" t="s">
        <v>510</v>
      </c>
      <c r="F115" t="s">
        <v>511</v>
      </c>
      <c r="G115" t="str">
        <f t="shared" si="3"/>
        <v>JE</v>
      </c>
      <c r="K115" t="s">
        <v>3329</v>
      </c>
      <c r="Z115" t="s">
        <v>3269</v>
      </c>
      <c r="AA115" t="s">
        <v>4766</v>
      </c>
    </row>
    <row r="116" spans="1:27">
      <c r="A116" s="379" t="s">
        <v>512</v>
      </c>
      <c r="B116" t="s">
        <v>513</v>
      </c>
      <c r="C116" s="379" t="s">
        <v>3977</v>
      </c>
      <c r="D116" s="379" t="str">
        <f t="shared" si="2"/>
        <v>NACE C - 10.8 Manufacture of other food products</v>
      </c>
      <c r="E116" s="377" t="s">
        <v>514</v>
      </c>
      <c r="F116" t="s">
        <v>515</v>
      </c>
      <c r="G116" t="str">
        <f t="shared" si="3"/>
        <v>JM</v>
      </c>
      <c r="K116" t="s">
        <v>2871</v>
      </c>
      <c r="Z116" t="s">
        <v>2769</v>
      </c>
      <c r="AA116" t="s">
        <v>4767</v>
      </c>
    </row>
    <row r="117" spans="1:27">
      <c r="A117" s="380" t="s">
        <v>516</v>
      </c>
      <c r="B117" t="s">
        <v>517</v>
      </c>
      <c r="C117" s="379" t="s">
        <v>3978</v>
      </c>
      <c r="D117" s="380" t="str">
        <f t="shared" si="2"/>
        <v>NACE C - 10.81 Manufacture of sugar</v>
      </c>
      <c r="E117" s="377" t="s">
        <v>518</v>
      </c>
      <c r="F117" t="s">
        <v>519</v>
      </c>
      <c r="G117" t="str">
        <f t="shared" si="3"/>
        <v>JO</v>
      </c>
      <c r="K117" t="s">
        <v>3330</v>
      </c>
      <c r="Z117" t="s">
        <v>3270</v>
      </c>
      <c r="AA117" t="s">
        <v>4768</v>
      </c>
    </row>
    <row r="118" spans="1:27">
      <c r="A118" s="380" t="s">
        <v>520</v>
      </c>
      <c r="B118" t="s">
        <v>521</v>
      </c>
      <c r="C118" s="376" t="s">
        <v>3979</v>
      </c>
      <c r="D118" s="380" t="str">
        <f t="shared" si="2"/>
        <v>NACE C - 10.82 Manufacture of cocoa, chocolate and sugar confectionery</v>
      </c>
      <c r="E118" s="377" t="s">
        <v>522</v>
      </c>
      <c r="F118" t="s">
        <v>523</v>
      </c>
      <c r="G118" t="str">
        <f t="shared" si="3"/>
        <v>JP</v>
      </c>
      <c r="K118" t="s">
        <v>2872</v>
      </c>
      <c r="Z118" t="s">
        <v>3271</v>
      </c>
      <c r="AA118" t="s">
        <v>4769</v>
      </c>
    </row>
    <row r="119" spans="1:27">
      <c r="A119" s="380" t="s">
        <v>524</v>
      </c>
      <c r="B119" t="s">
        <v>525</v>
      </c>
      <c r="C119" s="379" t="s">
        <v>3980</v>
      </c>
      <c r="D119" s="380" t="str">
        <f t="shared" si="2"/>
        <v>NACE C - 10.83 Processing of tea and coffee</v>
      </c>
      <c r="E119" s="377" t="s">
        <v>526</v>
      </c>
      <c r="F119" t="s">
        <v>527</v>
      </c>
      <c r="G119" t="str">
        <f t="shared" si="3"/>
        <v>KE</v>
      </c>
      <c r="K119" t="s">
        <v>3331</v>
      </c>
      <c r="Z119" t="s">
        <v>2770</v>
      </c>
      <c r="AA119" t="s">
        <v>4770</v>
      </c>
    </row>
    <row r="120" spans="1:27">
      <c r="A120" s="380" t="s">
        <v>528</v>
      </c>
      <c r="B120" t="s">
        <v>529</v>
      </c>
      <c r="C120" s="379" t="s">
        <v>3981</v>
      </c>
      <c r="D120" s="380" t="str">
        <f t="shared" si="2"/>
        <v>NACE C - 10.84 Manufacture of condiments and seasonings</v>
      </c>
      <c r="E120" s="377" t="s">
        <v>530</v>
      </c>
      <c r="F120" t="s">
        <v>531</v>
      </c>
      <c r="G120" t="str">
        <f t="shared" si="3"/>
        <v>KG</v>
      </c>
      <c r="K120" t="s">
        <v>2873</v>
      </c>
      <c r="Z120" t="s">
        <v>3273</v>
      </c>
      <c r="AA120" t="s">
        <v>4771</v>
      </c>
    </row>
    <row r="121" spans="1:27">
      <c r="A121" s="380" t="s">
        <v>532</v>
      </c>
      <c r="B121" t="s">
        <v>533</v>
      </c>
      <c r="C121" s="379" t="s">
        <v>3982</v>
      </c>
      <c r="D121" s="380" t="str">
        <f t="shared" si="2"/>
        <v>NACE C - 10.85 Manufacture of prepared meals and dishes</v>
      </c>
      <c r="E121" s="377" t="s">
        <v>534</v>
      </c>
      <c r="F121" t="s">
        <v>535</v>
      </c>
      <c r="G121" t="str">
        <f t="shared" si="3"/>
        <v>KH</v>
      </c>
      <c r="K121" t="s">
        <v>2874</v>
      </c>
      <c r="Z121" t="s">
        <v>3274</v>
      </c>
      <c r="AA121" t="s">
        <v>4772</v>
      </c>
    </row>
    <row r="122" spans="1:27">
      <c r="A122" s="380" t="s">
        <v>536</v>
      </c>
      <c r="B122" t="s">
        <v>537</v>
      </c>
      <c r="C122" s="379" t="s">
        <v>3983</v>
      </c>
      <c r="D122" s="380" t="str">
        <f t="shared" si="2"/>
        <v>NACE C - 10.86 Manufacture of homogenised food preparations and dietetic food</v>
      </c>
      <c r="E122" s="377" t="s">
        <v>538</v>
      </c>
      <c r="F122" t="s">
        <v>539</v>
      </c>
      <c r="G122" t="str">
        <f t="shared" si="3"/>
        <v>KI</v>
      </c>
      <c r="K122" t="s">
        <v>2757</v>
      </c>
      <c r="Z122" t="s">
        <v>3275</v>
      </c>
      <c r="AA122" t="s">
        <v>4773</v>
      </c>
    </row>
    <row r="123" spans="1:27">
      <c r="A123" s="380" t="s">
        <v>540</v>
      </c>
      <c r="B123" t="s">
        <v>541</v>
      </c>
      <c r="C123" s="379" t="s">
        <v>3984</v>
      </c>
      <c r="D123" s="380" t="str">
        <f t="shared" si="2"/>
        <v>NACE C - 10.89 Manufacture of other food products n.e.c.</v>
      </c>
      <c r="E123" s="377" t="s">
        <v>542</v>
      </c>
      <c r="F123" t="s">
        <v>543</v>
      </c>
      <c r="G123" t="str">
        <f t="shared" si="3"/>
        <v>KM</v>
      </c>
      <c r="K123" t="s">
        <v>3190</v>
      </c>
      <c r="Z123" t="s">
        <v>3276</v>
      </c>
      <c r="AA123" t="s">
        <v>4774</v>
      </c>
    </row>
    <row r="124" spans="1:27">
      <c r="A124" s="379" t="s">
        <v>544</v>
      </c>
      <c r="B124" t="s">
        <v>545</v>
      </c>
      <c r="C124" s="379" t="s">
        <v>3985</v>
      </c>
      <c r="D124" s="379" t="str">
        <f t="shared" si="2"/>
        <v>NACE C - 10.9 Manufacture of prepared animal feeds</v>
      </c>
      <c r="E124" s="377" t="s">
        <v>546</v>
      </c>
      <c r="F124" t="s">
        <v>547</v>
      </c>
      <c r="G124" t="str">
        <f t="shared" si="3"/>
        <v>KN</v>
      </c>
      <c r="K124" t="s">
        <v>2875</v>
      </c>
      <c r="Z124" t="s">
        <v>3277</v>
      </c>
      <c r="AA124" t="s">
        <v>4775</v>
      </c>
    </row>
    <row r="125" spans="1:27">
      <c r="A125" s="380" t="s">
        <v>548</v>
      </c>
      <c r="B125" t="s">
        <v>549</v>
      </c>
      <c r="C125" s="376" t="s">
        <v>3986</v>
      </c>
      <c r="D125" s="380" t="str">
        <f t="shared" si="2"/>
        <v>NACE C - 10.91 Manufacture of prepared feeds for farm animals</v>
      </c>
      <c r="E125" s="377" t="s">
        <v>550</v>
      </c>
      <c r="F125" t="s">
        <v>551</v>
      </c>
      <c r="G125" t="str">
        <f t="shared" si="3"/>
        <v>KP</v>
      </c>
      <c r="K125" t="s">
        <v>3332</v>
      </c>
      <c r="Z125" t="s">
        <v>3278</v>
      </c>
      <c r="AA125" t="s">
        <v>4776</v>
      </c>
    </row>
    <row r="126" spans="1:27">
      <c r="A126" s="380" t="s">
        <v>552</v>
      </c>
      <c r="B126" t="s">
        <v>553</v>
      </c>
      <c r="C126" s="379" t="s">
        <v>3987</v>
      </c>
      <c r="D126" s="380" t="str">
        <f t="shared" si="2"/>
        <v>NACE C - 10.92 Manufacture of prepared pet foods</v>
      </c>
      <c r="E126" s="377" t="s">
        <v>554</v>
      </c>
      <c r="F126" t="s">
        <v>555</v>
      </c>
      <c r="G126" t="str">
        <f t="shared" si="3"/>
        <v>KR</v>
      </c>
      <c r="K126" t="s">
        <v>3333</v>
      </c>
      <c r="Z126" t="s">
        <v>3279</v>
      </c>
      <c r="AA126" t="s">
        <v>4777</v>
      </c>
    </row>
    <row r="127" spans="1:27">
      <c r="A127" s="376" t="s">
        <v>556</v>
      </c>
      <c r="B127" t="s">
        <v>557</v>
      </c>
      <c r="C127" s="379" t="s">
        <v>3988</v>
      </c>
      <c r="D127" s="376" t="str">
        <f t="shared" si="2"/>
        <v>NACE C - 11 Manufacture of beverages</v>
      </c>
      <c r="E127" s="377" t="s">
        <v>558</v>
      </c>
      <c r="F127" t="s">
        <v>559</v>
      </c>
      <c r="G127" t="str">
        <f t="shared" si="3"/>
        <v>KW</v>
      </c>
      <c r="K127" t="s">
        <v>3334</v>
      </c>
      <c r="Z127" t="s">
        <v>3280</v>
      </c>
      <c r="AA127" t="s">
        <v>4778</v>
      </c>
    </row>
    <row r="128" spans="1:27">
      <c r="A128" s="379" t="s">
        <v>560</v>
      </c>
      <c r="B128" t="s">
        <v>561</v>
      </c>
      <c r="C128" s="379" t="s">
        <v>3989</v>
      </c>
      <c r="D128" s="379" t="str">
        <f t="shared" si="2"/>
        <v>NACE C - 11.0 Manufacture of beverages</v>
      </c>
      <c r="E128" s="377" t="s">
        <v>562</v>
      </c>
      <c r="F128" t="s">
        <v>563</v>
      </c>
      <c r="G128" t="str">
        <f t="shared" si="3"/>
        <v>KY</v>
      </c>
      <c r="K128" t="s">
        <v>2876</v>
      </c>
      <c r="Z128" t="s">
        <v>3281</v>
      </c>
      <c r="AA128" t="s">
        <v>4779</v>
      </c>
    </row>
    <row r="129" spans="1:27">
      <c r="A129" s="380" t="s">
        <v>564</v>
      </c>
      <c r="B129" t="s">
        <v>565</v>
      </c>
      <c r="C129" s="379" t="s">
        <v>3990</v>
      </c>
      <c r="D129" s="380" t="str">
        <f t="shared" si="2"/>
        <v>NACE C - 11.01 Distilling, rectifying and blending of spirits</v>
      </c>
      <c r="E129" s="377" t="s">
        <v>566</v>
      </c>
      <c r="F129" t="s">
        <v>567</v>
      </c>
      <c r="G129" t="str">
        <f t="shared" si="3"/>
        <v>KZ</v>
      </c>
      <c r="K129" t="s">
        <v>3335</v>
      </c>
      <c r="Z129" t="s">
        <v>3282</v>
      </c>
      <c r="AA129" t="s">
        <v>4780</v>
      </c>
    </row>
    <row r="130" spans="1:27">
      <c r="A130" s="380" t="s">
        <v>568</v>
      </c>
      <c r="B130" t="s">
        <v>569</v>
      </c>
      <c r="C130" s="379" t="s">
        <v>3991</v>
      </c>
      <c r="D130" s="380" t="str">
        <f t="shared" ref="D130:D193" si="4">_xlfn.CONCAT("NACE ", A130)</f>
        <v>NACE C - 11.02 Manufacture of wine from grape</v>
      </c>
      <c r="E130" s="377" t="s">
        <v>570</v>
      </c>
      <c r="F130" t="s">
        <v>571</v>
      </c>
      <c r="G130" t="str">
        <f t="shared" si="3"/>
        <v>LA</v>
      </c>
      <c r="K130" t="s">
        <v>3336</v>
      </c>
      <c r="Z130" t="s">
        <v>2771</v>
      </c>
      <c r="AA130" t="s">
        <v>4781</v>
      </c>
    </row>
    <row r="131" spans="1:27">
      <c r="A131" s="380" t="s">
        <v>572</v>
      </c>
      <c r="B131" t="s">
        <v>573</v>
      </c>
      <c r="C131" s="376" t="s">
        <v>3992</v>
      </c>
      <c r="D131" s="380" t="str">
        <f t="shared" si="4"/>
        <v>NACE C - 11.03 Manufacture of cider and other fermented fruit beverages</v>
      </c>
      <c r="E131" s="377" t="s">
        <v>574</v>
      </c>
      <c r="F131" t="s">
        <v>575</v>
      </c>
      <c r="G131" t="str">
        <f t="shared" ref="G131:G194" si="5">RIGHT(F131,2)</f>
        <v>LB</v>
      </c>
      <c r="K131" t="s">
        <v>3337</v>
      </c>
      <c r="Z131" t="s">
        <v>3283</v>
      </c>
      <c r="AA131" t="s">
        <v>4782</v>
      </c>
    </row>
    <row r="132" spans="1:27">
      <c r="A132" s="380" t="s">
        <v>576</v>
      </c>
      <c r="B132" t="s">
        <v>577</v>
      </c>
      <c r="C132" s="379" t="s">
        <v>3993</v>
      </c>
      <c r="D132" s="380" t="str">
        <f t="shared" si="4"/>
        <v>NACE C - 11.04 Manufacture of other non-distilled fermented beverages</v>
      </c>
      <c r="E132" s="377" t="s">
        <v>578</v>
      </c>
      <c r="F132" t="s">
        <v>579</v>
      </c>
      <c r="G132" t="str">
        <f t="shared" si="5"/>
        <v>LC</v>
      </c>
      <c r="K132" t="s">
        <v>2877</v>
      </c>
      <c r="Z132" t="s">
        <v>3284</v>
      </c>
      <c r="AA132" t="s">
        <v>4783</v>
      </c>
    </row>
    <row r="133" spans="1:27">
      <c r="A133" s="380" t="s">
        <v>580</v>
      </c>
      <c r="B133" t="s">
        <v>581</v>
      </c>
      <c r="C133" s="379" t="s">
        <v>3994</v>
      </c>
      <c r="D133" s="380" t="str">
        <f t="shared" si="4"/>
        <v>NACE C - 11.05 Manufacture of beer</v>
      </c>
      <c r="E133" s="377" t="s">
        <v>582</v>
      </c>
      <c r="F133" t="s">
        <v>583</v>
      </c>
      <c r="G133" t="str">
        <f t="shared" si="5"/>
        <v>LI</v>
      </c>
      <c r="K133" t="s">
        <v>2878</v>
      </c>
      <c r="Z133" t="s">
        <v>3285</v>
      </c>
      <c r="AA133" t="s">
        <v>4784</v>
      </c>
    </row>
    <row r="134" spans="1:27">
      <c r="A134" s="380" t="s">
        <v>584</v>
      </c>
      <c r="B134" t="s">
        <v>585</v>
      </c>
      <c r="C134" s="379" t="s">
        <v>3995</v>
      </c>
      <c r="D134" s="380" t="str">
        <f t="shared" si="4"/>
        <v>NACE C - 11.06 Manufacture of malt</v>
      </c>
      <c r="E134" s="377" t="s">
        <v>586</v>
      </c>
      <c r="F134" t="s">
        <v>587</v>
      </c>
      <c r="G134" t="str">
        <f t="shared" si="5"/>
        <v>LK</v>
      </c>
      <c r="K134" t="s">
        <v>3191</v>
      </c>
      <c r="AA134" t="s">
        <v>4785</v>
      </c>
    </row>
    <row r="135" spans="1:27">
      <c r="A135" s="380" t="s">
        <v>588</v>
      </c>
      <c r="B135" t="s">
        <v>589</v>
      </c>
      <c r="C135" s="376" t="s">
        <v>3996</v>
      </c>
      <c r="D135" s="380" t="str">
        <f t="shared" si="4"/>
        <v>NACE C - 11.07 Manufacture of soft drinks and bottled waters</v>
      </c>
      <c r="E135" s="377" t="s">
        <v>590</v>
      </c>
      <c r="F135" t="s">
        <v>591</v>
      </c>
      <c r="G135" t="str">
        <f t="shared" si="5"/>
        <v>LR</v>
      </c>
      <c r="K135" t="s">
        <v>2879</v>
      </c>
      <c r="AA135" t="s">
        <v>4786</v>
      </c>
    </row>
    <row r="136" spans="1:27">
      <c r="A136" s="376" t="s">
        <v>592</v>
      </c>
      <c r="B136" t="s">
        <v>593</v>
      </c>
      <c r="C136" s="379" t="s">
        <v>3997</v>
      </c>
      <c r="D136" s="376" t="str">
        <f t="shared" si="4"/>
        <v>NACE C - 12 Manufacture of tobacco products</v>
      </c>
      <c r="E136" s="377" t="s">
        <v>594</v>
      </c>
      <c r="F136" t="s">
        <v>595</v>
      </c>
      <c r="G136" t="str">
        <f t="shared" si="5"/>
        <v>LS</v>
      </c>
      <c r="K136" t="s">
        <v>2880</v>
      </c>
      <c r="AA136" t="s">
        <v>4787</v>
      </c>
    </row>
    <row r="137" spans="1:27">
      <c r="A137" s="379" t="s">
        <v>596</v>
      </c>
      <c r="B137" t="s">
        <v>597</v>
      </c>
      <c r="C137" s="379" t="s">
        <v>3998</v>
      </c>
      <c r="D137" s="379" t="str">
        <f t="shared" si="4"/>
        <v>NACE C - 12.0 Manufacture of tobacco products</v>
      </c>
      <c r="E137" s="377" t="s">
        <v>598</v>
      </c>
      <c r="F137" t="s">
        <v>599</v>
      </c>
      <c r="G137" t="str">
        <f t="shared" si="5"/>
        <v>LT</v>
      </c>
      <c r="K137" t="s">
        <v>2881</v>
      </c>
      <c r="AA137" t="s">
        <v>4788</v>
      </c>
    </row>
    <row r="138" spans="1:27">
      <c r="A138" s="380" t="s">
        <v>600</v>
      </c>
      <c r="B138" t="s">
        <v>601</v>
      </c>
      <c r="C138" s="379" t="s">
        <v>3999</v>
      </c>
      <c r="D138" s="380" t="str">
        <f t="shared" si="4"/>
        <v>NACE C - 12.00 Manufacture of tobacco products</v>
      </c>
      <c r="E138" s="377" t="s">
        <v>602</v>
      </c>
      <c r="F138" t="s">
        <v>603</v>
      </c>
      <c r="G138" t="str">
        <f t="shared" si="5"/>
        <v>LU</v>
      </c>
      <c r="K138" t="s">
        <v>3192</v>
      </c>
      <c r="AA138" t="s">
        <v>4789</v>
      </c>
    </row>
    <row r="139" spans="1:27">
      <c r="A139" s="376" t="s">
        <v>604</v>
      </c>
      <c r="B139" t="s">
        <v>605</v>
      </c>
      <c r="C139" s="379" t="s">
        <v>4000</v>
      </c>
      <c r="D139" s="376" t="str">
        <f t="shared" si="4"/>
        <v>NACE C - 13 Manufacture of textiles</v>
      </c>
      <c r="E139" s="377" t="s">
        <v>606</v>
      </c>
      <c r="F139" t="s">
        <v>607</v>
      </c>
      <c r="G139" t="str">
        <f t="shared" si="5"/>
        <v>LV</v>
      </c>
      <c r="K139" t="s">
        <v>3338</v>
      </c>
      <c r="AA139" t="s">
        <v>4790</v>
      </c>
    </row>
    <row r="140" spans="1:27">
      <c r="A140" s="379" t="s">
        <v>608</v>
      </c>
      <c r="B140" t="s">
        <v>609</v>
      </c>
      <c r="C140" s="379" t="s">
        <v>4001</v>
      </c>
      <c r="D140" s="379" t="str">
        <f t="shared" si="4"/>
        <v>NACE C - 13.1 Preparation and spinning of textile fibres</v>
      </c>
      <c r="E140" s="377" t="s">
        <v>610</v>
      </c>
      <c r="F140" t="s">
        <v>611</v>
      </c>
      <c r="G140" t="str">
        <f t="shared" si="5"/>
        <v>LY</v>
      </c>
      <c r="K140" t="s">
        <v>3193</v>
      </c>
      <c r="AA140" t="s">
        <v>4791</v>
      </c>
    </row>
    <row r="141" spans="1:27">
      <c r="A141" s="380" t="s">
        <v>612</v>
      </c>
      <c r="B141" t="s">
        <v>613</v>
      </c>
      <c r="C141" s="376" t="s">
        <v>4002</v>
      </c>
      <c r="D141" s="380" t="str">
        <f t="shared" si="4"/>
        <v>NACE C - 13.10 Preparation and spinning of textile fibres</v>
      </c>
      <c r="E141" s="377" t="s">
        <v>614</v>
      </c>
      <c r="F141" t="s">
        <v>615</v>
      </c>
      <c r="G141" t="str">
        <f t="shared" si="5"/>
        <v>MA</v>
      </c>
      <c r="K141" t="s">
        <v>2882</v>
      </c>
      <c r="AA141" t="s">
        <v>4792</v>
      </c>
    </row>
    <row r="142" spans="1:27">
      <c r="A142" s="379" t="s">
        <v>616</v>
      </c>
      <c r="B142" t="s">
        <v>617</v>
      </c>
      <c r="C142" s="379" t="s">
        <v>4003</v>
      </c>
      <c r="D142" s="379" t="str">
        <f t="shared" si="4"/>
        <v>NACE C - 13.2 Weaving of textiles</v>
      </c>
      <c r="E142" s="377" t="s">
        <v>618</v>
      </c>
      <c r="F142" t="s">
        <v>619</v>
      </c>
      <c r="G142" t="str">
        <f t="shared" si="5"/>
        <v>MC</v>
      </c>
      <c r="K142" t="s">
        <v>2883</v>
      </c>
      <c r="AA142" t="s">
        <v>4793</v>
      </c>
    </row>
    <row r="143" spans="1:27">
      <c r="A143" s="380" t="s">
        <v>620</v>
      </c>
      <c r="B143" t="s">
        <v>621</v>
      </c>
      <c r="C143" s="376" t="s">
        <v>4004</v>
      </c>
      <c r="D143" s="380" t="str">
        <f t="shared" si="4"/>
        <v>NACE C - 13.20 Weaving of textiles</v>
      </c>
      <c r="E143" s="377" t="s">
        <v>622</v>
      </c>
      <c r="F143" t="s">
        <v>623</v>
      </c>
      <c r="G143" t="str">
        <f t="shared" si="5"/>
        <v>MD</v>
      </c>
      <c r="K143" t="s">
        <v>3194</v>
      </c>
      <c r="AA143" t="s">
        <v>4794</v>
      </c>
    </row>
    <row r="144" spans="1:27">
      <c r="A144" s="379" t="s">
        <v>624</v>
      </c>
      <c r="B144" t="s">
        <v>625</v>
      </c>
      <c r="C144" s="379" t="s">
        <v>4005</v>
      </c>
      <c r="D144" s="379" t="str">
        <f t="shared" si="4"/>
        <v>NACE C - 13.3 Finishing of textiles</v>
      </c>
      <c r="E144" s="377" t="s">
        <v>626</v>
      </c>
      <c r="F144" t="s">
        <v>627</v>
      </c>
      <c r="G144" t="str">
        <f t="shared" si="5"/>
        <v>ME</v>
      </c>
      <c r="K144" t="s">
        <v>3339</v>
      </c>
      <c r="AA144" t="s">
        <v>4795</v>
      </c>
    </row>
    <row r="145" spans="1:27">
      <c r="A145" s="380" t="s">
        <v>628</v>
      </c>
      <c r="B145" t="s">
        <v>629</v>
      </c>
      <c r="C145" s="379" t="s">
        <v>4006</v>
      </c>
      <c r="D145" s="380" t="str">
        <f t="shared" si="4"/>
        <v>NACE C - 13.30 Finishing of textiles</v>
      </c>
      <c r="E145" s="377" t="s">
        <v>630</v>
      </c>
      <c r="F145" t="s">
        <v>631</v>
      </c>
      <c r="G145" t="str">
        <f t="shared" si="5"/>
        <v>MF</v>
      </c>
      <c r="K145" t="s">
        <v>2884</v>
      </c>
      <c r="AA145" t="s">
        <v>4796</v>
      </c>
    </row>
    <row r="146" spans="1:27">
      <c r="A146" s="379" t="s">
        <v>632</v>
      </c>
      <c r="B146" t="s">
        <v>633</v>
      </c>
      <c r="C146" s="379" t="s">
        <v>4007</v>
      </c>
      <c r="D146" s="379" t="str">
        <f t="shared" si="4"/>
        <v>NACE C - 13.9 Manufacture of other textiles</v>
      </c>
      <c r="E146" s="377" t="s">
        <v>634</v>
      </c>
      <c r="F146" t="s">
        <v>635</v>
      </c>
      <c r="G146" t="str">
        <f t="shared" si="5"/>
        <v>MG</v>
      </c>
      <c r="K146" t="s">
        <v>3340</v>
      </c>
      <c r="AA146" t="s">
        <v>4797</v>
      </c>
    </row>
    <row r="147" spans="1:27">
      <c r="A147" s="380" t="s">
        <v>636</v>
      </c>
      <c r="B147" t="s">
        <v>637</v>
      </c>
      <c r="C147" s="379" t="s">
        <v>4008</v>
      </c>
      <c r="D147" s="380" t="str">
        <f t="shared" si="4"/>
        <v>NACE C - 13.91 Manufacture of knitted and crocheted fabrics</v>
      </c>
      <c r="E147" s="377" t="s">
        <v>638</v>
      </c>
      <c r="F147" t="s">
        <v>639</v>
      </c>
      <c r="G147" t="str">
        <f t="shared" si="5"/>
        <v>MH</v>
      </c>
      <c r="K147" t="s">
        <v>2885</v>
      </c>
      <c r="AA147" t="s">
        <v>4798</v>
      </c>
    </row>
    <row r="148" spans="1:27">
      <c r="A148" s="380" t="s">
        <v>640</v>
      </c>
      <c r="B148" t="s">
        <v>641</v>
      </c>
      <c r="C148" s="379" t="s">
        <v>4009</v>
      </c>
      <c r="D148" s="380" t="str">
        <f t="shared" si="4"/>
        <v>NACE C - 13.92 Manufacture of household textiles and made-up furnishing articles</v>
      </c>
      <c r="E148" s="377" t="s">
        <v>642</v>
      </c>
      <c r="F148" t="s">
        <v>643</v>
      </c>
      <c r="G148" t="str">
        <f t="shared" si="5"/>
        <v>MK</v>
      </c>
      <c r="K148" t="s">
        <v>2886</v>
      </c>
      <c r="AA148" t="s">
        <v>4799</v>
      </c>
    </row>
    <row r="149" spans="1:27">
      <c r="A149" s="380" t="s">
        <v>644</v>
      </c>
      <c r="B149" t="s">
        <v>645</v>
      </c>
      <c r="C149" s="379" t="s">
        <v>4010</v>
      </c>
      <c r="D149" s="380" t="str">
        <f t="shared" si="4"/>
        <v>NACE C - 13.93 Manufacture of carpets and rugs</v>
      </c>
      <c r="E149" s="377" t="s">
        <v>646</v>
      </c>
      <c r="F149" t="s">
        <v>647</v>
      </c>
      <c r="G149" t="str">
        <f t="shared" si="5"/>
        <v>ML</v>
      </c>
      <c r="K149" t="s">
        <v>3195</v>
      </c>
      <c r="AA149" t="s">
        <v>4800</v>
      </c>
    </row>
    <row r="150" spans="1:27">
      <c r="A150" s="380" t="s">
        <v>648</v>
      </c>
      <c r="B150" t="s">
        <v>649</v>
      </c>
      <c r="C150" s="376" t="s">
        <v>4011</v>
      </c>
      <c r="D150" s="380" t="str">
        <f t="shared" si="4"/>
        <v>NACE C - 13.94 Manufacture of cordage, rope, twine and netting</v>
      </c>
      <c r="E150" s="377" t="s">
        <v>650</v>
      </c>
      <c r="F150" t="s">
        <v>651</v>
      </c>
      <c r="G150" t="str">
        <f t="shared" si="5"/>
        <v>MM</v>
      </c>
      <c r="K150" t="s">
        <v>3341</v>
      </c>
      <c r="AA150" t="s">
        <v>4801</v>
      </c>
    </row>
    <row r="151" spans="1:27">
      <c r="A151" s="380" t="s">
        <v>652</v>
      </c>
      <c r="B151" t="s">
        <v>653</v>
      </c>
      <c r="C151" s="379" t="s">
        <v>4012</v>
      </c>
      <c r="D151" s="380" t="str">
        <f t="shared" si="4"/>
        <v>NACE C - 13.95 Manufacture of non-wovens and non-woven articles</v>
      </c>
      <c r="E151" s="377" t="s">
        <v>654</v>
      </c>
      <c r="F151" t="s">
        <v>655</v>
      </c>
      <c r="G151" t="str">
        <f t="shared" si="5"/>
        <v>MN</v>
      </c>
      <c r="K151" t="s">
        <v>2887</v>
      </c>
      <c r="AA151" t="s">
        <v>4802</v>
      </c>
    </row>
    <row r="152" spans="1:27">
      <c r="A152" s="380" t="s">
        <v>656</v>
      </c>
      <c r="B152" t="s">
        <v>657</v>
      </c>
      <c r="C152" s="379" t="s">
        <v>4013</v>
      </c>
      <c r="D152" s="380" t="str">
        <f t="shared" si="4"/>
        <v>NACE C - 13.96 Manufacture of other technical and industrial textiles</v>
      </c>
      <c r="E152" s="377" t="s">
        <v>658</v>
      </c>
      <c r="F152" t="s">
        <v>659</v>
      </c>
      <c r="G152" t="str">
        <f t="shared" si="5"/>
        <v>MO</v>
      </c>
      <c r="K152" t="s">
        <v>2888</v>
      </c>
      <c r="AA152" t="s">
        <v>4803</v>
      </c>
    </row>
    <row r="153" spans="1:27">
      <c r="A153" s="380" t="s">
        <v>660</v>
      </c>
      <c r="B153" t="s">
        <v>661</v>
      </c>
      <c r="C153" s="377" t="s">
        <v>3896</v>
      </c>
      <c r="D153" s="380" t="str">
        <f t="shared" si="4"/>
        <v>NACE C - 13.99 Manufacture of other textiles n.e.c.</v>
      </c>
      <c r="E153" s="377" t="s">
        <v>662</v>
      </c>
      <c r="F153" t="s">
        <v>663</v>
      </c>
      <c r="G153" t="str">
        <f t="shared" si="5"/>
        <v>MP</v>
      </c>
      <c r="K153" t="s">
        <v>3196</v>
      </c>
      <c r="AA153" t="s">
        <v>4804</v>
      </c>
    </row>
    <row r="154" spans="1:27">
      <c r="A154" s="376" t="s">
        <v>664</v>
      </c>
      <c r="B154" t="s">
        <v>665</v>
      </c>
      <c r="C154" s="376" t="s">
        <v>4015</v>
      </c>
      <c r="D154" s="376" t="str">
        <f t="shared" si="4"/>
        <v>NACE C - 14 Manufacture of wearing apparel</v>
      </c>
      <c r="E154" s="377" t="s">
        <v>666</v>
      </c>
      <c r="F154" t="s">
        <v>667</v>
      </c>
      <c r="G154" t="str">
        <f t="shared" si="5"/>
        <v>MQ</v>
      </c>
      <c r="K154" t="s">
        <v>3342</v>
      </c>
      <c r="AA154" t="s">
        <v>4805</v>
      </c>
    </row>
    <row r="155" spans="1:27">
      <c r="A155" s="379" t="s">
        <v>668</v>
      </c>
      <c r="B155" t="s">
        <v>669</v>
      </c>
      <c r="C155" s="379" t="s">
        <v>4016</v>
      </c>
      <c r="D155" s="379" t="str">
        <f t="shared" si="4"/>
        <v>NACE C - 14.1 Manufacture of knitted and crocheted apparel</v>
      </c>
      <c r="E155" s="377" t="s">
        <v>670</v>
      </c>
      <c r="F155" t="s">
        <v>671</v>
      </c>
      <c r="G155" t="str">
        <f t="shared" si="5"/>
        <v>MR</v>
      </c>
      <c r="K155" t="s">
        <v>3343</v>
      </c>
      <c r="AA155" t="s">
        <v>4806</v>
      </c>
    </row>
    <row r="156" spans="1:27">
      <c r="A156" s="380" t="s">
        <v>672</v>
      </c>
      <c r="B156" t="s">
        <v>673</v>
      </c>
      <c r="C156" s="379" t="s">
        <v>4017</v>
      </c>
      <c r="D156" s="380" t="str">
        <f t="shared" si="4"/>
        <v>NACE C - 14.10 Manufacture of knitted and crocheted apparel</v>
      </c>
      <c r="E156" s="377" t="s">
        <v>674</v>
      </c>
      <c r="F156" t="s">
        <v>675</v>
      </c>
      <c r="G156" t="str">
        <f t="shared" si="5"/>
        <v>MS</v>
      </c>
      <c r="K156" t="s">
        <v>3344</v>
      </c>
      <c r="AA156" t="s">
        <v>4807</v>
      </c>
    </row>
    <row r="157" spans="1:27">
      <c r="A157" s="379" t="s">
        <v>676</v>
      </c>
      <c r="B157" t="s">
        <v>677</v>
      </c>
      <c r="C157" s="379" t="s">
        <v>4018</v>
      </c>
      <c r="D157" s="379" t="str">
        <f t="shared" si="4"/>
        <v>NACE C - 14.2 Manufacture of other wearing apparel and accessories</v>
      </c>
      <c r="E157" s="377" t="s">
        <v>678</v>
      </c>
      <c r="F157" t="s">
        <v>679</v>
      </c>
      <c r="G157" t="str">
        <f t="shared" si="5"/>
        <v>MT</v>
      </c>
      <c r="K157" t="s">
        <v>3345</v>
      </c>
      <c r="AA157" t="s">
        <v>4808</v>
      </c>
    </row>
    <row r="158" spans="1:27">
      <c r="A158" s="380" t="s">
        <v>680</v>
      </c>
      <c r="B158" t="s">
        <v>681</v>
      </c>
      <c r="C158" s="379" t="s">
        <v>4019</v>
      </c>
      <c r="D158" s="380" t="str">
        <f t="shared" si="4"/>
        <v>NACE C - 14.21 Manufacture of outerwear</v>
      </c>
      <c r="E158" s="377" t="s">
        <v>682</v>
      </c>
      <c r="F158" t="s">
        <v>683</v>
      </c>
      <c r="G158" t="str">
        <f t="shared" si="5"/>
        <v>MU</v>
      </c>
      <c r="K158" t="s">
        <v>3346</v>
      </c>
      <c r="AA158" t="s">
        <v>4809</v>
      </c>
    </row>
    <row r="159" spans="1:27">
      <c r="A159" s="380" t="s">
        <v>684</v>
      </c>
      <c r="B159" t="s">
        <v>685</v>
      </c>
      <c r="C159" s="377" t="s">
        <v>4014</v>
      </c>
      <c r="D159" s="380" t="str">
        <f t="shared" si="4"/>
        <v>NACE C - 14.22 Manufacture of underwear</v>
      </c>
      <c r="E159" s="377" t="s">
        <v>686</v>
      </c>
      <c r="F159" t="s">
        <v>687</v>
      </c>
      <c r="G159" t="str">
        <f t="shared" si="5"/>
        <v>MV</v>
      </c>
      <c r="K159" t="s">
        <v>2758</v>
      </c>
      <c r="AA159" t="s">
        <v>4810</v>
      </c>
    </row>
    <row r="160" spans="1:27">
      <c r="A160" s="380" t="s">
        <v>688</v>
      </c>
      <c r="B160" t="s">
        <v>689</v>
      </c>
      <c r="C160" s="376" t="s">
        <v>4021</v>
      </c>
      <c r="D160" s="380" t="str">
        <f t="shared" si="4"/>
        <v>NACE C - 14.23 Manufacture of workwear</v>
      </c>
      <c r="E160" s="377" t="s">
        <v>690</v>
      </c>
      <c r="F160" t="s">
        <v>691</v>
      </c>
      <c r="G160" t="str">
        <f t="shared" si="5"/>
        <v>MW</v>
      </c>
      <c r="K160" t="s">
        <v>3197</v>
      </c>
      <c r="AA160" t="s">
        <v>4811</v>
      </c>
    </row>
    <row r="161" spans="1:27">
      <c r="A161" s="380" t="s">
        <v>692</v>
      </c>
      <c r="B161" t="s">
        <v>693</v>
      </c>
      <c r="C161" s="379" t="s">
        <v>4022</v>
      </c>
      <c r="D161" s="380" t="str">
        <f t="shared" si="4"/>
        <v>NACE C - 14.24 Manufacture of leather clothes and fur apparel</v>
      </c>
      <c r="E161" s="377" t="s">
        <v>694</v>
      </c>
      <c r="F161" t="s">
        <v>695</v>
      </c>
      <c r="G161" t="str">
        <f t="shared" si="5"/>
        <v>MX</v>
      </c>
      <c r="K161" t="s">
        <v>3347</v>
      </c>
      <c r="AA161" t="s">
        <v>4812</v>
      </c>
    </row>
    <row r="162" spans="1:27">
      <c r="A162" s="380" t="s">
        <v>696</v>
      </c>
      <c r="B162" t="s">
        <v>697</v>
      </c>
      <c r="C162" s="376" t="s">
        <v>4023</v>
      </c>
      <c r="D162" s="380" t="str">
        <f t="shared" si="4"/>
        <v>NACE C - 14.29 Manufacture of other wearing apparel and accessories n.e.c.</v>
      </c>
      <c r="E162" s="377" t="s">
        <v>698</v>
      </c>
      <c r="F162" t="s">
        <v>699</v>
      </c>
      <c r="G162" t="str">
        <f t="shared" si="5"/>
        <v>MY</v>
      </c>
      <c r="K162" t="s">
        <v>3348</v>
      </c>
      <c r="AA162" t="s">
        <v>4813</v>
      </c>
    </row>
    <row r="163" spans="1:27">
      <c r="A163" s="376" t="s">
        <v>700</v>
      </c>
      <c r="B163" t="s">
        <v>701</v>
      </c>
      <c r="C163" s="379" t="s">
        <v>4024</v>
      </c>
      <c r="D163" s="376" t="str">
        <f t="shared" si="4"/>
        <v>NACE C - 15 Manufacture of leather and related products of other materials</v>
      </c>
      <c r="E163" s="377" t="s">
        <v>702</v>
      </c>
      <c r="F163" t="s">
        <v>703</v>
      </c>
      <c r="G163" t="str">
        <f t="shared" si="5"/>
        <v>MZ</v>
      </c>
      <c r="K163" t="s">
        <v>3349</v>
      </c>
      <c r="AA163" t="s">
        <v>4814</v>
      </c>
    </row>
    <row r="164" spans="1:27">
      <c r="A164" s="379" t="s">
        <v>704</v>
      </c>
      <c r="B164" t="s">
        <v>705</v>
      </c>
      <c r="C164" s="376" t="s">
        <v>4025</v>
      </c>
      <c r="D164" s="379" t="str">
        <f t="shared" si="4"/>
        <v>NACE C - 15.1 Tanning, dyeing, dressing of leather and fur; manufacture of luggage, handbags, saddlery and harness</v>
      </c>
      <c r="E164" s="377" t="s">
        <v>706</v>
      </c>
      <c r="F164" t="s">
        <v>707</v>
      </c>
      <c r="G164" t="str">
        <f t="shared" si="5"/>
        <v>NA</v>
      </c>
      <c r="K164" t="s">
        <v>3350</v>
      </c>
      <c r="AA164" t="s">
        <v>4815</v>
      </c>
    </row>
    <row r="165" spans="1:27">
      <c r="A165" s="380" t="s">
        <v>708</v>
      </c>
      <c r="B165" t="s">
        <v>709</v>
      </c>
      <c r="C165" s="379" t="s">
        <v>4026</v>
      </c>
      <c r="D165" s="380" t="str">
        <f t="shared" si="4"/>
        <v>NACE C - 15.11 Tanning, dressing, dyeing of leather and fur</v>
      </c>
      <c r="E165" s="377" t="s">
        <v>710</v>
      </c>
      <c r="F165" t="s">
        <v>711</v>
      </c>
      <c r="G165" t="str">
        <f t="shared" si="5"/>
        <v>NC</v>
      </c>
      <c r="K165" t="s">
        <v>3351</v>
      </c>
      <c r="AA165" t="s">
        <v>4816</v>
      </c>
    </row>
    <row r="166" spans="1:27">
      <c r="A166" s="380" t="s">
        <v>712</v>
      </c>
      <c r="B166" t="s">
        <v>713</v>
      </c>
      <c r="C166" s="379" t="s">
        <v>4027</v>
      </c>
      <c r="D166" s="380" t="str">
        <f t="shared" si="4"/>
        <v>NACE C - 15.12 Manufacture of luggage, handbags, saddlery and harness of any material</v>
      </c>
      <c r="E166" s="377" t="s">
        <v>714</v>
      </c>
      <c r="F166" t="s">
        <v>715</v>
      </c>
      <c r="G166" t="str">
        <f t="shared" si="5"/>
        <v>NE</v>
      </c>
      <c r="K166" t="s">
        <v>3352</v>
      </c>
      <c r="AA166" t="s">
        <v>4817</v>
      </c>
    </row>
    <row r="167" spans="1:27">
      <c r="A167" s="379" t="s">
        <v>716</v>
      </c>
      <c r="B167" t="s">
        <v>717</v>
      </c>
      <c r="C167" s="379" t="s">
        <v>4028</v>
      </c>
      <c r="D167" s="379" t="str">
        <f t="shared" si="4"/>
        <v>NACE C - 15.2 Manufacture of footwear</v>
      </c>
      <c r="E167" s="377" t="s">
        <v>718</v>
      </c>
      <c r="F167" t="s">
        <v>719</v>
      </c>
      <c r="G167" t="str">
        <f t="shared" si="5"/>
        <v>NF</v>
      </c>
      <c r="K167" t="s">
        <v>3198</v>
      </c>
      <c r="AA167" t="s">
        <v>4818</v>
      </c>
    </row>
    <row r="168" spans="1:27">
      <c r="A168" s="380" t="s">
        <v>720</v>
      </c>
      <c r="B168" t="s">
        <v>721</v>
      </c>
      <c r="C168" s="376" t="s">
        <v>4029</v>
      </c>
      <c r="D168" s="380" t="str">
        <f t="shared" si="4"/>
        <v>NACE C - 15.20 Manufacture of footwear</v>
      </c>
      <c r="E168" s="377" t="s">
        <v>722</v>
      </c>
      <c r="F168" t="s">
        <v>723</v>
      </c>
      <c r="G168" t="str">
        <f t="shared" si="5"/>
        <v>NG</v>
      </c>
      <c r="K168" t="s">
        <v>3353</v>
      </c>
      <c r="AA168" t="s">
        <v>4819</v>
      </c>
    </row>
    <row r="169" spans="1:27">
      <c r="A169" s="376" t="s">
        <v>724</v>
      </c>
      <c r="B169" t="s">
        <v>725</v>
      </c>
      <c r="C169" s="379" t="s">
        <v>4030</v>
      </c>
      <c r="D169" s="376" t="str">
        <f t="shared" si="4"/>
        <v>NACE C - 16 Manufacture of wood and of products of wood and cork, except furniture; manufacture of articles of straw and plaiting materials</v>
      </c>
      <c r="E169" s="377" t="s">
        <v>726</v>
      </c>
      <c r="F169" t="s">
        <v>727</v>
      </c>
      <c r="G169" t="str">
        <f t="shared" si="5"/>
        <v>NI</v>
      </c>
      <c r="K169" t="s">
        <v>3354</v>
      </c>
      <c r="AA169" t="s">
        <v>4820</v>
      </c>
    </row>
    <row r="170" spans="1:27">
      <c r="A170" s="379" t="s">
        <v>728</v>
      </c>
      <c r="B170" t="s">
        <v>729</v>
      </c>
      <c r="C170" s="377" t="s">
        <v>4020</v>
      </c>
      <c r="D170" s="379" t="str">
        <f t="shared" si="4"/>
        <v>NACE C - 16.1 Sawmilling and planing of wood; processing and finishing of wood</v>
      </c>
      <c r="E170" s="377" t="s">
        <v>730</v>
      </c>
      <c r="F170" t="s">
        <v>731</v>
      </c>
      <c r="G170" t="str">
        <f t="shared" si="5"/>
        <v>NL</v>
      </c>
      <c r="K170" t="s">
        <v>3355</v>
      </c>
      <c r="AA170" t="s">
        <v>4821</v>
      </c>
    </row>
    <row r="171" spans="1:27">
      <c r="A171" s="380" t="s">
        <v>732</v>
      </c>
      <c r="B171" t="s">
        <v>733</v>
      </c>
      <c r="C171" s="376" t="s">
        <v>4032</v>
      </c>
      <c r="D171" s="380" t="str">
        <f t="shared" si="4"/>
        <v>NACE C - 16.11 Sawmilling and planing of wood</v>
      </c>
      <c r="E171" s="377" t="s">
        <v>734</v>
      </c>
      <c r="F171" t="s">
        <v>735</v>
      </c>
      <c r="G171" t="str">
        <f t="shared" si="5"/>
        <v>NO</v>
      </c>
      <c r="K171" t="s">
        <v>3356</v>
      </c>
    </row>
    <row r="172" spans="1:27">
      <c r="A172" s="380" t="s">
        <v>736</v>
      </c>
      <c r="B172" t="s">
        <v>737</v>
      </c>
      <c r="C172" s="379" t="s">
        <v>4033</v>
      </c>
      <c r="D172" s="380" t="str">
        <f t="shared" si="4"/>
        <v>NACE C - 16.12 Processing and finishing of wood</v>
      </c>
      <c r="E172" s="377" t="s">
        <v>738</v>
      </c>
      <c r="F172" t="s">
        <v>739</v>
      </c>
      <c r="G172" t="str">
        <f t="shared" si="5"/>
        <v>NP</v>
      </c>
      <c r="K172" t="s">
        <v>3199</v>
      </c>
    </row>
    <row r="173" spans="1:27">
      <c r="A173" s="379" t="s">
        <v>740</v>
      </c>
      <c r="B173" t="s">
        <v>741</v>
      </c>
      <c r="C173" s="376" t="s">
        <v>4034</v>
      </c>
      <c r="D173" s="379" t="str">
        <f t="shared" si="4"/>
        <v>NACE C - 16.2 Manufacture of products of wood, cork, straw and plaiting materials</v>
      </c>
      <c r="E173" s="377" t="s">
        <v>742</v>
      </c>
      <c r="F173" t="s">
        <v>743</v>
      </c>
      <c r="G173" t="str">
        <f t="shared" si="5"/>
        <v>NR</v>
      </c>
      <c r="K173" t="s">
        <v>2889</v>
      </c>
    </row>
    <row r="174" spans="1:27">
      <c r="A174" s="380" t="s">
        <v>744</v>
      </c>
      <c r="B174" t="s">
        <v>745</v>
      </c>
      <c r="C174" s="379" t="s">
        <v>4035</v>
      </c>
      <c r="D174" s="380" t="str">
        <f t="shared" si="4"/>
        <v>NACE C - 16.21 Manufacture of veneer sheets and wood-based panels</v>
      </c>
      <c r="E174" s="377" t="s">
        <v>746</v>
      </c>
      <c r="F174" t="s">
        <v>747</v>
      </c>
      <c r="G174" t="str">
        <f t="shared" si="5"/>
        <v>NT</v>
      </c>
      <c r="K174" t="s">
        <v>2890</v>
      </c>
    </row>
    <row r="175" spans="1:27">
      <c r="A175" s="380" t="s">
        <v>748</v>
      </c>
      <c r="B175" t="s">
        <v>749</v>
      </c>
      <c r="C175" s="379" t="s">
        <v>4036</v>
      </c>
      <c r="D175" s="380" t="str">
        <f t="shared" si="4"/>
        <v>NACE C - 16.22 Manufacture of assembled parquet floors</v>
      </c>
      <c r="E175" s="377" t="s">
        <v>750</v>
      </c>
      <c r="F175" t="s">
        <v>751</v>
      </c>
      <c r="G175" t="str">
        <f t="shared" si="5"/>
        <v>NU</v>
      </c>
      <c r="K175" t="s">
        <v>2891</v>
      </c>
    </row>
    <row r="176" spans="1:27">
      <c r="A176" s="380" t="s">
        <v>752</v>
      </c>
      <c r="B176" t="s">
        <v>753</v>
      </c>
      <c r="C176" s="379" t="s">
        <v>4037</v>
      </c>
      <c r="D176" s="380" t="str">
        <f t="shared" si="4"/>
        <v>NACE C - 16.23 Manufacture of other builders’ carpentry and joinery</v>
      </c>
      <c r="E176" s="377" t="s">
        <v>754</v>
      </c>
      <c r="F176" t="s">
        <v>755</v>
      </c>
      <c r="G176" t="str">
        <f t="shared" si="5"/>
        <v>NZ</v>
      </c>
      <c r="K176" t="s">
        <v>2892</v>
      </c>
    </row>
    <row r="177" spans="1:11">
      <c r="A177" s="380" t="s">
        <v>756</v>
      </c>
      <c r="B177" t="s">
        <v>757</v>
      </c>
      <c r="C177" s="376" t="s">
        <v>4038</v>
      </c>
      <c r="D177" s="380" t="str">
        <f t="shared" si="4"/>
        <v>NACE C - 16.24 Manufacture of wooden containers</v>
      </c>
      <c r="E177" s="377" t="s">
        <v>758</v>
      </c>
      <c r="F177" t="s">
        <v>759</v>
      </c>
      <c r="G177" t="str">
        <f t="shared" si="5"/>
        <v>OM</v>
      </c>
      <c r="K177" t="s">
        <v>2893</v>
      </c>
    </row>
    <row r="178" spans="1:11">
      <c r="A178" s="380" t="s">
        <v>760</v>
      </c>
      <c r="B178" t="s">
        <v>761</v>
      </c>
      <c r="C178" s="379" t="s">
        <v>4039</v>
      </c>
      <c r="D178" s="380" t="str">
        <f t="shared" si="4"/>
        <v>NACE C - 16.25 Manufacture of doors and windows of wood</v>
      </c>
      <c r="E178" s="377" t="s">
        <v>762</v>
      </c>
      <c r="F178" t="s">
        <v>763</v>
      </c>
      <c r="G178" t="str">
        <f t="shared" si="5"/>
        <v>PA</v>
      </c>
      <c r="K178" t="s">
        <v>2894</v>
      </c>
    </row>
    <row r="179" spans="1:11">
      <c r="A179" s="380" t="s">
        <v>764</v>
      </c>
      <c r="B179" t="s">
        <v>765</v>
      </c>
      <c r="C179" s="379" t="s">
        <v>4040</v>
      </c>
      <c r="D179" s="380" t="str">
        <f t="shared" si="4"/>
        <v>NACE C - 16.26 Manufacture of solid fuels from vegetable biomass</v>
      </c>
      <c r="E179" s="377" t="s">
        <v>766</v>
      </c>
      <c r="F179" t="s">
        <v>767</v>
      </c>
      <c r="G179" t="str">
        <f t="shared" si="5"/>
        <v>PE</v>
      </c>
      <c r="K179" t="s">
        <v>2895</v>
      </c>
    </row>
    <row r="180" spans="1:11">
      <c r="A180" s="380" t="s">
        <v>768</v>
      </c>
      <c r="B180" t="s">
        <v>769</v>
      </c>
      <c r="C180" s="379" t="s">
        <v>4041</v>
      </c>
      <c r="D180" s="380" t="str">
        <f t="shared" si="4"/>
        <v>NACE C - 16.27 Finishing of wooden products</v>
      </c>
      <c r="E180" s="377" t="s">
        <v>770</v>
      </c>
      <c r="F180" t="s">
        <v>771</v>
      </c>
      <c r="G180" t="str">
        <f t="shared" si="5"/>
        <v>PF</v>
      </c>
      <c r="K180" t="s">
        <v>2896</v>
      </c>
    </row>
    <row r="181" spans="1:11">
      <c r="A181" s="380" t="s">
        <v>772</v>
      </c>
      <c r="B181" t="s">
        <v>773</v>
      </c>
      <c r="C181" s="379" t="s">
        <v>4042</v>
      </c>
      <c r="D181" s="380" t="str">
        <f t="shared" si="4"/>
        <v>NACE C - 16.28 Manufacture of other products of wood and articles of cork, straw and plaiting materials</v>
      </c>
      <c r="E181" s="377" t="s">
        <v>774</v>
      </c>
      <c r="F181" t="s">
        <v>775</v>
      </c>
      <c r="G181" t="str">
        <f t="shared" si="5"/>
        <v>PG</v>
      </c>
      <c r="K181" t="s">
        <v>2897</v>
      </c>
    </row>
    <row r="182" spans="1:11">
      <c r="A182" s="376" t="s">
        <v>776</v>
      </c>
      <c r="B182" t="s">
        <v>777</v>
      </c>
      <c r="C182" s="379" t="s">
        <v>4043</v>
      </c>
      <c r="D182" s="376" t="str">
        <f t="shared" si="4"/>
        <v>NACE C - 17 Manufacture of paper and paper products</v>
      </c>
      <c r="E182" s="377" t="s">
        <v>778</v>
      </c>
      <c r="F182" t="s">
        <v>779</v>
      </c>
      <c r="G182" t="str">
        <f t="shared" si="5"/>
        <v>PH</v>
      </c>
      <c r="K182" t="s">
        <v>2898</v>
      </c>
    </row>
    <row r="183" spans="1:11">
      <c r="A183" s="379" t="s">
        <v>780</v>
      </c>
      <c r="B183" t="s">
        <v>781</v>
      </c>
      <c r="C183" s="379" t="s">
        <v>4044</v>
      </c>
      <c r="D183" s="379" t="str">
        <f t="shared" si="4"/>
        <v>NACE C - 17.1 Manufacture of pulp, paper and paperboard</v>
      </c>
      <c r="E183" s="377" t="s">
        <v>782</v>
      </c>
      <c r="F183" t="s">
        <v>783</v>
      </c>
      <c r="G183" t="str">
        <f t="shared" si="5"/>
        <v>PK</v>
      </c>
      <c r="K183" t="s">
        <v>3357</v>
      </c>
    </row>
    <row r="184" spans="1:11">
      <c r="A184" s="380" t="s">
        <v>784</v>
      </c>
      <c r="B184" t="s">
        <v>785</v>
      </c>
      <c r="C184" s="379" t="s">
        <v>4045</v>
      </c>
      <c r="D184" s="380" t="str">
        <f t="shared" si="4"/>
        <v>NACE C - 17.11 Manufacture of pulp</v>
      </c>
      <c r="E184" s="377" t="s">
        <v>786</v>
      </c>
      <c r="F184" t="s">
        <v>787</v>
      </c>
      <c r="G184" t="str">
        <f t="shared" si="5"/>
        <v>PL</v>
      </c>
      <c r="K184" t="s">
        <v>2899</v>
      </c>
    </row>
    <row r="185" spans="1:11">
      <c r="A185" s="380" t="s">
        <v>788</v>
      </c>
      <c r="B185" t="s">
        <v>789</v>
      </c>
      <c r="C185" s="377" t="s">
        <v>4031</v>
      </c>
      <c r="D185" s="380" t="str">
        <f t="shared" si="4"/>
        <v>NACE C - 17.12 Manufacture of paper and paperboard</v>
      </c>
      <c r="E185" s="377" t="s">
        <v>790</v>
      </c>
      <c r="F185" t="s">
        <v>791</v>
      </c>
      <c r="G185" t="str">
        <f t="shared" si="5"/>
        <v>PM</v>
      </c>
      <c r="K185" t="s">
        <v>2900</v>
      </c>
    </row>
    <row r="186" spans="1:11">
      <c r="A186" s="379" t="s">
        <v>792</v>
      </c>
      <c r="B186" t="s">
        <v>793</v>
      </c>
      <c r="C186" s="376" t="s">
        <v>4047</v>
      </c>
      <c r="D186" s="379" t="str">
        <f t="shared" si="4"/>
        <v>NACE C - 17.2 Manufacture of articles of paper and paperboard</v>
      </c>
      <c r="E186" s="377" t="s">
        <v>794</v>
      </c>
      <c r="F186" t="s">
        <v>795</v>
      </c>
      <c r="G186" t="str">
        <f t="shared" si="5"/>
        <v>PN</v>
      </c>
      <c r="K186" t="s">
        <v>3200</v>
      </c>
    </row>
    <row r="187" spans="1:11">
      <c r="A187" s="380" t="s">
        <v>796</v>
      </c>
      <c r="B187" t="s">
        <v>797</v>
      </c>
      <c r="C187" s="379" t="s">
        <v>4048</v>
      </c>
      <c r="D187" s="380" t="str">
        <f t="shared" si="4"/>
        <v>NACE C - 17.21 Manufacture of corrugated paper, paperboard and containers of paper and paperboard</v>
      </c>
      <c r="E187" s="377" t="s">
        <v>798</v>
      </c>
      <c r="F187" t="s">
        <v>799</v>
      </c>
      <c r="G187" t="str">
        <f t="shared" si="5"/>
        <v>PR</v>
      </c>
      <c r="K187" t="s">
        <v>2901</v>
      </c>
    </row>
    <row r="188" spans="1:11">
      <c r="A188" s="380" t="s">
        <v>800</v>
      </c>
      <c r="B188" t="s">
        <v>801</v>
      </c>
      <c r="C188" s="379" t="s">
        <v>4049</v>
      </c>
      <c r="D188" s="380" t="str">
        <f t="shared" si="4"/>
        <v>NACE C - 17.22 Manufacture of household and sanitary goods and of toilet requisites</v>
      </c>
      <c r="E188" s="377" t="s">
        <v>802</v>
      </c>
      <c r="F188" t="s">
        <v>803</v>
      </c>
      <c r="G188" t="str">
        <f t="shared" si="5"/>
        <v>PS</v>
      </c>
      <c r="K188" t="s">
        <v>3358</v>
      </c>
    </row>
    <row r="189" spans="1:11">
      <c r="A189" s="380" t="s">
        <v>804</v>
      </c>
      <c r="B189" t="s">
        <v>805</v>
      </c>
      <c r="C189" s="379" t="s">
        <v>4050</v>
      </c>
      <c r="D189" s="380" t="str">
        <f t="shared" si="4"/>
        <v>NACE C - 17.23 Manufacture of paper stationery</v>
      </c>
      <c r="E189" s="377" t="s">
        <v>806</v>
      </c>
      <c r="F189" t="s">
        <v>807</v>
      </c>
      <c r="G189" t="str">
        <f t="shared" si="5"/>
        <v>PT</v>
      </c>
      <c r="K189" t="s">
        <v>3359</v>
      </c>
    </row>
    <row r="190" spans="1:11">
      <c r="A190" s="380" t="s">
        <v>808</v>
      </c>
      <c r="B190" t="s">
        <v>809</v>
      </c>
      <c r="C190" s="379" t="s">
        <v>4051</v>
      </c>
      <c r="D190" s="380" t="str">
        <f t="shared" si="4"/>
        <v>NACE C - 17.24 Manufacture of wallpaper</v>
      </c>
      <c r="E190" s="377" t="s">
        <v>810</v>
      </c>
      <c r="F190" t="s">
        <v>811</v>
      </c>
      <c r="G190" t="str">
        <f t="shared" si="5"/>
        <v>PW</v>
      </c>
      <c r="K190" t="s">
        <v>3360</v>
      </c>
    </row>
    <row r="191" spans="1:11">
      <c r="A191" s="380" t="s">
        <v>812</v>
      </c>
      <c r="B191" t="s">
        <v>813</v>
      </c>
      <c r="C191" s="379" t="s">
        <v>4052</v>
      </c>
      <c r="D191" s="380" t="str">
        <f t="shared" si="4"/>
        <v>NACE C - 17.25 Manufacture of other articles of paper and paperboard</v>
      </c>
      <c r="E191" s="377" t="s">
        <v>814</v>
      </c>
      <c r="F191" t="s">
        <v>815</v>
      </c>
      <c r="G191" t="str">
        <f t="shared" si="5"/>
        <v>PY</v>
      </c>
      <c r="K191" t="s">
        <v>3361</v>
      </c>
    </row>
    <row r="192" spans="1:11">
      <c r="A192" s="376" t="s">
        <v>816</v>
      </c>
      <c r="B192" t="s">
        <v>817</v>
      </c>
      <c r="C192" s="379" t="s">
        <v>4053</v>
      </c>
      <c r="D192" s="376" t="str">
        <f t="shared" si="4"/>
        <v>NACE C - 18 Printing and reproduction of recorded media</v>
      </c>
      <c r="E192" s="377" t="s">
        <v>818</v>
      </c>
      <c r="F192" t="s">
        <v>819</v>
      </c>
      <c r="G192" t="str">
        <f t="shared" si="5"/>
        <v>QA</v>
      </c>
      <c r="K192" t="s">
        <v>2902</v>
      </c>
    </row>
    <row r="193" spans="1:11">
      <c r="A193" s="379" t="s">
        <v>820</v>
      </c>
      <c r="B193" t="s">
        <v>821</v>
      </c>
      <c r="C193" s="379" t="s">
        <v>4054</v>
      </c>
      <c r="D193" s="379" t="str">
        <f t="shared" si="4"/>
        <v>NACE C - 18.1 Printing and service activities related to printing</v>
      </c>
      <c r="E193" s="377" t="s">
        <v>822</v>
      </c>
      <c r="F193" t="s">
        <v>823</v>
      </c>
      <c r="G193" t="str">
        <f t="shared" si="5"/>
        <v>RE</v>
      </c>
      <c r="K193" t="s">
        <v>3201</v>
      </c>
    </row>
    <row r="194" spans="1:11">
      <c r="A194" s="380" t="s">
        <v>824</v>
      </c>
      <c r="B194" t="s">
        <v>825</v>
      </c>
      <c r="C194" s="379" t="s">
        <v>4055</v>
      </c>
      <c r="D194" s="380" t="str">
        <f t="shared" ref="D194:D257" si="6">_xlfn.CONCAT("NACE ", A194)</f>
        <v>NACE C - 18.11 Printing of newspapers</v>
      </c>
      <c r="E194" s="377" t="s">
        <v>826</v>
      </c>
      <c r="F194" t="s">
        <v>827</v>
      </c>
      <c r="G194" t="str">
        <f t="shared" si="5"/>
        <v>RO</v>
      </c>
      <c r="K194" t="s">
        <v>3362</v>
      </c>
    </row>
    <row r="195" spans="1:11">
      <c r="A195" s="380" t="s">
        <v>828</v>
      </c>
      <c r="B195" t="s">
        <v>829</v>
      </c>
      <c r="C195" s="379" t="s">
        <v>4056</v>
      </c>
      <c r="D195" s="380" t="str">
        <f t="shared" si="6"/>
        <v>NACE C - 18.12 Other printing</v>
      </c>
      <c r="E195" s="377" t="s">
        <v>830</v>
      </c>
      <c r="F195" t="s">
        <v>831</v>
      </c>
      <c r="G195" t="str">
        <f t="shared" ref="G195:G257" si="7">RIGHT(F195,2)</f>
        <v>RS</v>
      </c>
      <c r="K195" t="s">
        <v>2903</v>
      </c>
    </row>
    <row r="196" spans="1:11">
      <c r="A196" s="380" t="s">
        <v>832</v>
      </c>
      <c r="B196" t="s">
        <v>833</v>
      </c>
      <c r="C196" s="376" t="s">
        <v>4057</v>
      </c>
      <c r="D196" s="380" t="str">
        <f t="shared" si="6"/>
        <v>NACE C - 18.13 Pre-press and pre-media services</v>
      </c>
      <c r="E196" s="377" t="s">
        <v>834</v>
      </c>
      <c r="F196" t="s">
        <v>835</v>
      </c>
      <c r="G196" t="str">
        <f t="shared" si="7"/>
        <v>RU</v>
      </c>
      <c r="K196" t="s">
        <v>3202</v>
      </c>
    </row>
    <row r="197" spans="1:11">
      <c r="A197" s="380" t="s">
        <v>836</v>
      </c>
      <c r="B197" t="s">
        <v>837</v>
      </c>
      <c r="C197" s="379" t="s">
        <v>4058</v>
      </c>
      <c r="D197" s="380" t="str">
        <f t="shared" si="6"/>
        <v>NACE C - 18.14 Binding and related services</v>
      </c>
      <c r="E197" s="377" t="s">
        <v>838</v>
      </c>
      <c r="F197" t="s">
        <v>839</v>
      </c>
      <c r="G197" t="str">
        <f t="shared" si="7"/>
        <v>RW</v>
      </c>
      <c r="K197" t="s">
        <v>2904</v>
      </c>
    </row>
    <row r="198" spans="1:11">
      <c r="A198" s="379" t="s">
        <v>840</v>
      </c>
      <c r="B198" t="s">
        <v>841</v>
      </c>
      <c r="C198" s="379" t="s">
        <v>4059</v>
      </c>
      <c r="D198" s="379" t="str">
        <f t="shared" si="6"/>
        <v>NACE C - 18.2 Reproduction of recorded media</v>
      </c>
      <c r="E198" s="377" t="s">
        <v>842</v>
      </c>
      <c r="F198" t="s">
        <v>843</v>
      </c>
      <c r="G198" t="str">
        <f t="shared" si="7"/>
        <v>SA</v>
      </c>
      <c r="K198" t="s">
        <v>2905</v>
      </c>
    </row>
    <row r="199" spans="1:11">
      <c r="A199" s="380" t="s">
        <v>844</v>
      </c>
      <c r="B199" t="s">
        <v>845</v>
      </c>
      <c r="C199" s="379" t="s">
        <v>4060</v>
      </c>
      <c r="D199" s="380" t="str">
        <f t="shared" si="6"/>
        <v>NACE C - 18.20 Reproduction of recorded media</v>
      </c>
      <c r="E199" s="377" t="s">
        <v>846</v>
      </c>
      <c r="F199" t="s">
        <v>847</v>
      </c>
      <c r="G199" t="str">
        <f t="shared" si="7"/>
        <v>SB</v>
      </c>
      <c r="K199" t="s">
        <v>3203</v>
      </c>
    </row>
    <row r="200" spans="1:11">
      <c r="A200" s="376" t="s">
        <v>848</v>
      </c>
      <c r="B200" t="s">
        <v>849</v>
      </c>
      <c r="C200" s="379" t="s">
        <v>4061</v>
      </c>
      <c r="D200" s="376" t="str">
        <f t="shared" si="6"/>
        <v>NACE C - 19 Manufacture of coke and refined petroleum products</v>
      </c>
      <c r="E200" s="377" t="s">
        <v>850</v>
      </c>
      <c r="F200" t="s">
        <v>851</v>
      </c>
      <c r="G200" t="str">
        <f t="shared" si="7"/>
        <v>SC</v>
      </c>
      <c r="K200" t="s">
        <v>3363</v>
      </c>
    </row>
    <row r="201" spans="1:11">
      <c r="A201" s="379" t="s">
        <v>852</v>
      </c>
      <c r="B201" t="s">
        <v>853</v>
      </c>
      <c r="C201" s="379" t="s">
        <v>4062</v>
      </c>
      <c r="D201" s="379" t="str">
        <f t="shared" si="6"/>
        <v>NACE C - 19.1 Manufacture of coke oven products</v>
      </c>
      <c r="E201" s="377" t="s">
        <v>854</v>
      </c>
      <c r="F201" t="s">
        <v>855</v>
      </c>
      <c r="G201" t="str">
        <f t="shared" si="7"/>
        <v>SD</v>
      </c>
      <c r="K201" t="s">
        <v>3364</v>
      </c>
    </row>
    <row r="202" spans="1:11">
      <c r="A202" s="380" t="s">
        <v>856</v>
      </c>
      <c r="B202" t="s">
        <v>857</v>
      </c>
      <c r="C202" s="379" t="s">
        <v>4063</v>
      </c>
      <c r="D202" s="380" t="str">
        <f t="shared" si="6"/>
        <v>NACE C - 19.10 Manufacture of coke oven products</v>
      </c>
      <c r="E202" s="377" t="s">
        <v>858</v>
      </c>
      <c r="F202" t="s">
        <v>859</v>
      </c>
      <c r="G202" t="str">
        <f t="shared" si="7"/>
        <v>SE</v>
      </c>
      <c r="K202" t="s">
        <v>2906</v>
      </c>
    </row>
    <row r="203" spans="1:11">
      <c r="A203" s="379" t="s">
        <v>860</v>
      </c>
      <c r="B203" t="s">
        <v>861</v>
      </c>
      <c r="C203" s="379" t="s">
        <v>4064</v>
      </c>
      <c r="D203" s="379" t="str">
        <f t="shared" si="6"/>
        <v>NACE C - 19.2 Manufacture of refined petroleum products and fossil fuel products</v>
      </c>
      <c r="E203" s="377" t="s">
        <v>862</v>
      </c>
      <c r="F203" t="s">
        <v>863</v>
      </c>
      <c r="G203" t="str">
        <f t="shared" si="7"/>
        <v>SG</v>
      </c>
      <c r="K203" t="s">
        <v>3204</v>
      </c>
    </row>
    <row r="204" spans="1:11">
      <c r="A204" s="380" t="s">
        <v>864</v>
      </c>
      <c r="B204" t="s">
        <v>865</v>
      </c>
      <c r="C204" s="379" t="s">
        <v>4065</v>
      </c>
      <c r="D204" s="380" t="str">
        <f t="shared" si="6"/>
        <v>NACE C - 19.20 Manufacture of refined petroleum products and fossil fuel products</v>
      </c>
      <c r="E204" s="377" t="s">
        <v>866</v>
      </c>
      <c r="F204" t="s">
        <v>867</v>
      </c>
      <c r="G204" t="str">
        <f t="shared" si="7"/>
        <v>SH</v>
      </c>
      <c r="K204" t="s">
        <v>2907</v>
      </c>
    </row>
    <row r="205" spans="1:11">
      <c r="A205" s="376" t="s">
        <v>868</v>
      </c>
      <c r="B205" t="s">
        <v>869</v>
      </c>
      <c r="C205" s="379" t="s">
        <v>4066</v>
      </c>
      <c r="D205" s="376" t="str">
        <f t="shared" si="6"/>
        <v>NACE C - 20 Manufacture of chemicals and chemical products</v>
      </c>
      <c r="E205" s="377" t="s">
        <v>870</v>
      </c>
      <c r="F205" t="s">
        <v>871</v>
      </c>
      <c r="G205" t="str">
        <f t="shared" si="7"/>
        <v>SI</v>
      </c>
      <c r="K205" t="s">
        <v>3205</v>
      </c>
    </row>
    <row r="206" spans="1:11">
      <c r="A206" s="379" t="s">
        <v>872</v>
      </c>
      <c r="B206" t="s">
        <v>873</v>
      </c>
      <c r="C206" s="377" t="s">
        <v>4046</v>
      </c>
      <c r="D206" s="379" t="str">
        <f t="shared" si="6"/>
        <v>NACE C - 20.1 Manufacture of basic chemicals, fertilisers and nitrogen compounds, plastics and synthetic rubber in primary forms</v>
      </c>
      <c r="E206" s="377" t="s">
        <v>874</v>
      </c>
      <c r="F206" t="s">
        <v>875</v>
      </c>
      <c r="G206" t="str">
        <f t="shared" si="7"/>
        <v>SJ</v>
      </c>
      <c r="K206" t="s">
        <v>2908</v>
      </c>
    </row>
    <row r="207" spans="1:11">
      <c r="A207" s="380" t="s">
        <v>876</v>
      </c>
      <c r="B207" t="s">
        <v>877</v>
      </c>
      <c r="C207" s="376" t="s">
        <v>4068</v>
      </c>
      <c r="D207" s="380" t="str">
        <f t="shared" si="6"/>
        <v>NACE C - 20.11 Manufacture of industrial gases</v>
      </c>
      <c r="E207" s="377" t="s">
        <v>878</v>
      </c>
      <c r="F207" t="s">
        <v>879</v>
      </c>
      <c r="G207" t="str">
        <f t="shared" si="7"/>
        <v>SK</v>
      </c>
      <c r="K207" t="s">
        <v>2909</v>
      </c>
    </row>
    <row r="208" spans="1:11">
      <c r="A208" s="380" t="s">
        <v>880</v>
      </c>
      <c r="B208" t="s">
        <v>881</v>
      </c>
      <c r="C208" s="379" t="s">
        <v>4069</v>
      </c>
      <c r="D208" s="380" t="str">
        <f t="shared" si="6"/>
        <v>NACE C - 20.12 Manufacture of dyes and pigments</v>
      </c>
      <c r="E208" s="377" t="s">
        <v>882</v>
      </c>
      <c r="F208" t="s">
        <v>883</v>
      </c>
      <c r="G208" t="str">
        <f t="shared" si="7"/>
        <v>SL</v>
      </c>
      <c r="K208" t="s">
        <v>2910</v>
      </c>
    </row>
    <row r="209" spans="1:11">
      <c r="A209" s="380" t="s">
        <v>884</v>
      </c>
      <c r="B209" t="s">
        <v>885</v>
      </c>
      <c r="C209" s="379" t="s">
        <v>4070</v>
      </c>
      <c r="D209" s="380" t="str">
        <f t="shared" si="6"/>
        <v>NACE C - 20.13 Manufacture of other inorganic basic chemicals</v>
      </c>
      <c r="E209" s="377" t="s">
        <v>886</v>
      </c>
      <c r="F209" t="s">
        <v>887</v>
      </c>
      <c r="G209" t="str">
        <f t="shared" si="7"/>
        <v>SM</v>
      </c>
      <c r="K209" t="s">
        <v>3206</v>
      </c>
    </row>
    <row r="210" spans="1:11">
      <c r="A210" s="380" t="s">
        <v>888</v>
      </c>
      <c r="B210" t="s">
        <v>889</v>
      </c>
      <c r="C210" s="379" t="s">
        <v>4071</v>
      </c>
      <c r="D210" s="380" t="str">
        <f t="shared" si="6"/>
        <v>NACE C - 20.14 Manufacture of other organic basic chemicals</v>
      </c>
      <c r="E210" s="377" t="s">
        <v>890</v>
      </c>
      <c r="F210" t="s">
        <v>891</v>
      </c>
      <c r="G210" t="str">
        <f t="shared" si="7"/>
        <v>SN</v>
      </c>
      <c r="K210" t="s">
        <v>2911</v>
      </c>
    </row>
    <row r="211" spans="1:11">
      <c r="A211" s="380" t="s">
        <v>892</v>
      </c>
      <c r="B211" t="s">
        <v>893</v>
      </c>
      <c r="C211" s="379" t="s">
        <v>4072</v>
      </c>
      <c r="D211" s="380" t="str">
        <f t="shared" si="6"/>
        <v>NACE C - 20.15 Manufacture of fertilisers and nitrogen compounds</v>
      </c>
      <c r="E211" s="377" t="s">
        <v>894</v>
      </c>
      <c r="F211" t="s">
        <v>895</v>
      </c>
      <c r="G211" t="str">
        <f t="shared" si="7"/>
        <v>SO</v>
      </c>
      <c r="K211" t="s">
        <v>3207</v>
      </c>
    </row>
    <row r="212" spans="1:11">
      <c r="A212" s="380" t="s">
        <v>896</v>
      </c>
      <c r="B212" t="s">
        <v>897</v>
      </c>
      <c r="C212" s="379" t="s">
        <v>4073</v>
      </c>
      <c r="D212" s="380" t="str">
        <f t="shared" si="6"/>
        <v>NACE C - 20.16 Manufacture of plastics in primary forms</v>
      </c>
      <c r="E212" s="377" t="s">
        <v>898</v>
      </c>
      <c r="F212" t="s">
        <v>899</v>
      </c>
      <c r="G212" t="str">
        <f t="shared" si="7"/>
        <v>SR</v>
      </c>
      <c r="K212" t="s">
        <v>2912</v>
      </c>
    </row>
    <row r="213" spans="1:11">
      <c r="A213" s="380" t="s">
        <v>900</v>
      </c>
      <c r="B213" t="s">
        <v>901</v>
      </c>
      <c r="C213" s="376" t="s">
        <v>4074</v>
      </c>
      <c r="D213" s="380" t="str">
        <f t="shared" si="6"/>
        <v>NACE C - 20.17 Manufacture of synthetic rubber in primary forms</v>
      </c>
      <c r="E213" s="377" t="s">
        <v>902</v>
      </c>
      <c r="F213" t="s">
        <v>903</v>
      </c>
      <c r="G213" t="str">
        <f t="shared" si="7"/>
        <v>SS</v>
      </c>
      <c r="K213" t="s">
        <v>2913</v>
      </c>
    </row>
    <row r="214" spans="1:11">
      <c r="A214" s="379" t="s">
        <v>904</v>
      </c>
      <c r="B214" t="s">
        <v>905</v>
      </c>
      <c r="C214" s="379" t="s">
        <v>4075</v>
      </c>
      <c r="D214" s="379" t="str">
        <f t="shared" si="6"/>
        <v>NACE C - 20.2 Manufacture of pesticides, disinfectants and other agrochemical products</v>
      </c>
      <c r="E214" s="377" t="s">
        <v>906</v>
      </c>
      <c r="F214" t="s">
        <v>907</v>
      </c>
      <c r="G214" t="str">
        <f t="shared" si="7"/>
        <v>ST</v>
      </c>
      <c r="K214" t="s">
        <v>3208</v>
      </c>
    </row>
    <row r="215" spans="1:11">
      <c r="A215" s="380" t="s">
        <v>908</v>
      </c>
      <c r="B215" t="s">
        <v>909</v>
      </c>
      <c r="C215" s="379" t="s">
        <v>4076</v>
      </c>
      <c r="D215" s="380" t="str">
        <f t="shared" si="6"/>
        <v>NACE C - 20.20 Manufacture of pesticides, disinfectants and other agrochemical products</v>
      </c>
      <c r="E215" s="377" t="s">
        <v>910</v>
      </c>
      <c r="F215" t="s">
        <v>911</v>
      </c>
      <c r="G215" t="str">
        <f t="shared" si="7"/>
        <v>SV</v>
      </c>
      <c r="K215" t="s">
        <v>3365</v>
      </c>
    </row>
    <row r="216" spans="1:11">
      <c r="A216" s="379" t="s">
        <v>912</v>
      </c>
      <c r="B216" t="s">
        <v>913</v>
      </c>
      <c r="C216" s="379" t="s">
        <v>4077</v>
      </c>
      <c r="D216" s="379" t="str">
        <f t="shared" si="6"/>
        <v>NACE C - 20.3 Manufacture of paints, varnishes and similar coatings, printing ink and mastics</v>
      </c>
      <c r="E216" s="377" t="s">
        <v>914</v>
      </c>
      <c r="F216" t="s">
        <v>915</v>
      </c>
      <c r="G216" t="str">
        <f t="shared" si="7"/>
        <v>SX</v>
      </c>
      <c r="K216" t="s">
        <v>3366</v>
      </c>
    </row>
    <row r="217" spans="1:11">
      <c r="A217" s="380" t="s">
        <v>916</v>
      </c>
      <c r="B217" t="s">
        <v>917</v>
      </c>
      <c r="C217" s="379" t="s">
        <v>4078</v>
      </c>
      <c r="D217" s="380" t="str">
        <f t="shared" si="6"/>
        <v>NACE C - 20.30 Manufacture of paints, varnishes and similar coatings, printing ink and mastics</v>
      </c>
      <c r="E217" s="377" t="s">
        <v>918</v>
      </c>
      <c r="F217" t="s">
        <v>919</v>
      </c>
      <c r="G217" t="str">
        <f t="shared" si="7"/>
        <v>SY</v>
      </c>
      <c r="K217" t="s">
        <v>2914</v>
      </c>
    </row>
    <row r="218" spans="1:11">
      <c r="A218" s="379" t="s">
        <v>920</v>
      </c>
      <c r="B218" t="s">
        <v>921</v>
      </c>
      <c r="C218" s="376" t="s">
        <v>4079</v>
      </c>
      <c r="D218" s="379" t="str">
        <f t="shared" si="6"/>
        <v>NACE C - 20.4 Manufacture of washing, cleaning and polishing preparations</v>
      </c>
      <c r="E218" s="377" t="s">
        <v>922</v>
      </c>
      <c r="F218" t="s">
        <v>923</v>
      </c>
      <c r="G218" t="str">
        <f t="shared" si="7"/>
        <v>SZ</v>
      </c>
      <c r="K218" t="s">
        <v>3367</v>
      </c>
    </row>
    <row r="219" spans="1:11">
      <c r="A219" s="380" t="s">
        <v>924</v>
      </c>
      <c r="B219" t="s">
        <v>925</v>
      </c>
      <c r="C219" s="379" t="s">
        <v>4080</v>
      </c>
      <c r="D219" s="380" t="str">
        <f t="shared" si="6"/>
        <v>NACE C - 20.41 Manufacture of soap and detergents, cleaning and polishing preparations</v>
      </c>
      <c r="E219" s="377" t="s">
        <v>926</v>
      </c>
      <c r="F219" t="s">
        <v>927</v>
      </c>
      <c r="G219" t="str">
        <f t="shared" si="7"/>
        <v>TC</v>
      </c>
      <c r="K219" t="s">
        <v>2915</v>
      </c>
    </row>
    <row r="220" spans="1:11">
      <c r="A220" s="380" t="s">
        <v>928</v>
      </c>
      <c r="B220" t="s">
        <v>929</v>
      </c>
      <c r="C220" s="379" t="s">
        <v>4081</v>
      </c>
      <c r="D220" s="380" t="str">
        <f t="shared" si="6"/>
        <v>NACE C - 20.42 Manufacture of perfume and toilet preparations</v>
      </c>
      <c r="E220" s="377" t="s">
        <v>930</v>
      </c>
      <c r="F220" t="s">
        <v>931</v>
      </c>
      <c r="G220" t="str">
        <f t="shared" si="7"/>
        <v>TD</v>
      </c>
      <c r="K220" t="s">
        <v>2759</v>
      </c>
    </row>
    <row r="221" spans="1:11">
      <c r="A221" s="379" t="s">
        <v>932</v>
      </c>
      <c r="B221" t="s">
        <v>933</v>
      </c>
      <c r="C221" s="376" t="s">
        <v>4082</v>
      </c>
      <c r="D221" s="379" t="str">
        <f t="shared" si="6"/>
        <v>NACE C - 20.5 Manufacture of other chemical products</v>
      </c>
      <c r="E221" s="377" t="s">
        <v>934</v>
      </c>
      <c r="F221" t="s">
        <v>935</v>
      </c>
      <c r="G221" t="str">
        <f t="shared" si="7"/>
        <v>TF</v>
      </c>
      <c r="K221" t="s">
        <v>3209</v>
      </c>
    </row>
    <row r="222" spans="1:11">
      <c r="A222" s="380" t="s">
        <v>936</v>
      </c>
      <c r="B222" t="s">
        <v>937</v>
      </c>
      <c r="C222" s="379" t="s">
        <v>4083</v>
      </c>
      <c r="D222" s="380" t="str">
        <f t="shared" si="6"/>
        <v>NACE C - 20.51 Manufacture of liquid biofuels</v>
      </c>
      <c r="E222" s="377" t="s">
        <v>938</v>
      </c>
      <c r="F222" t="s">
        <v>939</v>
      </c>
      <c r="G222" t="str">
        <f t="shared" si="7"/>
        <v>TG</v>
      </c>
      <c r="K222" t="s">
        <v>3378</v>
      </c>
    </row>
    <row r="223" spans="1:11">
      <c r="A223" s="380" t="s">
        <v>940</v>
      </c>
      <c r="B223" t="s">
        <v>941</v>
      </c>
      <c r="C223" s="379" t="s">
        <v>4084</v>
      </c>
      <c r="D223" s="380" t="str">
        <f t="shared" si="6"/>
        <v>NACE C - 20.59 Manufacture of other chemical products n.e.c.</v>
      </c>
      <c r="E223" s="377" t="s">
        <v>942</v>
      </c>
      <c r="F223" t="s">
        <v>943</v>
      </c>
      <c r="G223" t="str">
        <f t="shared" si="7"/>
        <v>TH</v>
      </c>
      <c r="K223" t="s">
        <v>3379</v>
      </c>
    </row>
    <row r="224" spans="1:11">
      <c r="A224" s="379" t="s">
        <v>944</v>
      </c>
      <c r="B224" t="s">
        <v>945</v>
      </c>
      <c r="C224" s="379" t="s">
        <v>4085</v>
      </c>
      <c r="D224" s="379" t="str">
        <f t="shared" si="6"/>
        <v>NACE C - 20.6 Manufacture of man-made fibres</v>
      </c>
      <c r="E224" s="377" t="s">
        <v>946</v>
      </c>
      <c r="F224" t="s">
        <v>947</v>
      </c>
      <c r="G224" t="str">
        <f t="shared" si="7"/>
        <v>TJ</v>
      </c>
      <c r="K224" t="s">
        <v>3380</v>
      </c>
    </row>
    <row r="225" spans="1:11">
      <c r="A225" s="380" t="s">
        <v>948</v>
      </c>
      <c r="B225" t="s">
        <v>949</v>
      </c>
      <c r="C225" s="376" t="s">
        <v>4086</v>
      </c>
      <c r="D225" s="380" t="str">
        <f t="shared" si="6"/>
        <v>NACE C - 20.60 Manufacture of man-made fibres</v>
      </c>
      <c r="E225" s="377" t="s">
        <v>950</v>
      </c>
      <c r="F225" t="s">
        <v>951</v>
      </c>
      <c r="G225" t="str">
        <f t="shared" si="7"/>
        <v>TK</v>
      </c>
      <c r="K225" t="s">
        <v>3381</v>
      </c>
    </row>
    <row r="226" spans="1:11">
      <c r="A226" s="376" t="s">
        <v>952</v>
      </c>
      <c r="B226" t="s">
        <v>953</v>
      </c>
      <c r="C226" s="379" t="s">
        <v>4087</v>
      </c>
      <c r="D226" s="376" t="str">
        <f t="shared" si="6"/>
        <v>NACE C - 21 Manufacture of basic pharmaceutical products and pharmaceutical preparations</v>
      </c>
      <c r="E226" s="377" t="s">
        <v>954</v>
      </c>
      <c r="F226" t="s">
        <v>955</v>
      </c>
      <c r="G226" t="str">
        <f t="shared" si="7"/>
        <v>TL</v>
      </c>
      <c r="K226" t="s">
        <v>3382</v>
      </c>
    </row>
    <row r="227" spans="1:11">
      <c r="A227" s="379" t="s">
        <v>956</v>
      </c>
      <c r="B227" t="s">
        <v>957</v>
      </c>
      <c r="C227" s="379" t="s">
        <v>4088</v>
      </c>
      <c r="D227" s="379" t="str">
        <f t="shared" si="6"/>
        <v>NACE C - 21.1 Manufacture of basic pharmaceutical products</v>
      </c>
      <c r="E227" s="377" t="s">
        <v>958</v>
      </c>
      <c r="F227" t="s">
        <v>959</v>
      </c>
      <c r="G227" t="str">
        <f t="shared" si="7"/>
        <v>TM</v>
      </c>
      <c r="K227" t="s">
        <v>3383</v>
      </c>
    </row>
    <row r="228" spans="1:11">
      <c r="A228" s="380" t="s">
        <v>960</v>
      </c>
      <c r="B228" t="s">
        <v>961</v>
      </c>
      <c r="C228" s="379" t="s">
        <v>4089</v>
      </c>
      <c r="D228" s="380" t="str">
        <f t="shared" si="6"/>
        <v>NACE C - 21.10 Manufacture of basic pharmaceutical products</v>
      </c>
      <c r="E228" s="377" t="s">
        <v>962</v>
      </c>
      <c r="F228" t="s">
        <v>963</v>
      </c>
      <c r="G228" t="str">
        <f t="shared" si="7"/>
        <v>TN</v>
      </c>
      <c r="K228" t="s">
        <v>3384</v>
      </c>
    </row>
    <row r="229" spans="1:11">
      <c r="A229" s="379" t="s">
        <v>964</v>
      </c>
      <c r="B229" t="s">
        <v>965</v>
      </c>
      <c r="C229" s="377" t="s">
        <v>4067</v>
      </c>
      <c r="D229" s="379" t="str">
        <f t="shared" si="6"/>
        <v>NACE C - 21.2 Manufacture of pharmaceutical preparations</v>
      </c>
      <c r="E229" s="377" t="s">
        <v>966</v>
      </c>
      <c r="F229" t="s">
        <v>967</v>
      </c>
      <c r="G229" t="str">
        <f t="shared" si="7"/>
        <v>TO</v>
      </c>
      <c r="K229" t="s">
        <v>3385</v>
      </c>
    </row>
    <row r="230" spans="1:11">
      <c r="A230" s="380" t="s">
        <v>968</v>
      </c>
      <c r="B230" t="s">
        <v>969</v>
      </c>
      <c r="C230" s="376" t="s">
        <v>4091</v>
      </c>
      <c r="D230" s="380" t="str">
        <f t="shared" si="6"/>
        <v>NACE C - 21.20 Manufacture of pharmaceutical preparations</v>
      </c>
      <c r="E230" s="377" t="s">
        <v>970</v>
      </c>
      <c r="F230" t="s">
        <v>971</v>
      </c>
      <c r="G230" t="str">
        <f t="shared" si="7"/>
        <v>TP</v>
      </c>
      <c r="K230" t="s">
        <v>2916</v>
      </c>
    </row>
    <row r="231" spans="1:11">
      <c r="A231" s="376" t="s">
        <v>972</v>
      </c>
      <c r="B231" t="s">
        <v>973</v>
      </c>
      <c r="C231" s="379" t="s">
        <v>4092</v>
      </c>
      <c r="D231" s="376" t="str">
        <f t="shared" si="6"/>
        <v>NACE C - 22 Manufacture of rubber and plastic products</v>
      </c>
      <c r="E231" s="377" t="s">
        <v>974</v>
      </c>
      <c r="F231" t="s">
        <v>975</v>
      </c>
      <c r="G231" t="str">
        <f t="shared" si="7"/>
        <v>TR</v>
      </c>
      <c r="K231" t="s">
        <v>2917</v>
      </c>
    </row>
    <row r="232" spans="1:11">
      <c r="A232" s="379" t="s">
        <v>976</v>
      </c>
      <c r="B232" t="s">
        <v>977</v>
      </c>
      <c r="C232" s="379" t="s">
        <v>4093</v>
      </c>
      <c r="D232" s="379" t="str">
        <f t="shared" si="6"/>
        <v>NACE C - 22.1 Manufacture of rubber products</v>
      </c>
      <c r="E232" s="377" t="s">
        <v>978</v>
      </c>
      <c r="F232" t="s">
        <v>979</v>
      </c>
      <c r="G232" t="str">
        <f t="shared" si="7"/>
        <v>TT</v>
      </c>
      <c r="K232" t="s">
        <v>3210</v>
      </c>
    </row>
    <row r="233" spans="1:11">
      <c r="A233" s="380" t="s">
        <v>980</v>
      </c>
      <c r="B233" t="s">
        <v>981</v>
      </c>
      <c r="C233" s="379" t="s">
        <v>4094</v>
      </c>
      <c r="D233" s="380" t="str">
        <f t="shared" si="6"/>
        <v>NACE C - 22.11 Manufacture, retreading and rebuilding of rubber tyres and manufacture of tubes</v>
      </c>
      <c r="E233" s="377" t="s">
        <v>982</v>
      </c>
      <c r="F233" t="s">
        <v>983</v>
      </c>
      <c r="G233" t="str">
        <f t="shared" si="7"/>
        <v>TV</v>
      </c>
      <c r="K233" t="s">
        <v>3386</v>
      </c>
    </row>
    <row r="234" spans="1:11">
      <c r="A234" s="380" t="s">
        <v>984</v>
      </c>
      <c r="B234" t="s">
        <v>985</v>
      </c>
      <c r="C234" s="379" t="s">
        <v>4095</v>
      </c>
      <c r="D234" s="380" t="str">
        <f t="shared" si="6"/>
        <v>NACE C - 22.12 Manufacture of other rubber products</v>
      </c>
      <c r="E234" s="377" t="s">
        <v>986</v>
      </c>
      <c r="F234" t="s">
        <v>987</v>
      </c>
      <c r="G234" t="str">
        <f t="shared" si="7"/>
        <v>TW</v>
      </c>
      <c r="K234" t="s">
        <v>3387</v>
      </c>
    </row>
    <row r="235" spans="1:11">
      <c r="A235" s="379" t="s">
        <v>988</v>
      </c>
      <c r="B235" t="s">
        <v>989</v>
      </c>
      <c r="C235" s="379" t="s">
        <v>4096</v>
      </c>
      <c r="D235" s="379" t="str">
        <f t="shared" si="6"/>
        <v>NACE C - 22.2 Manufacture of plastic products</v>
      </c>
      <c r="E235" s="377" t="s">
        <v>990</v>
      </c>
      <c r="F235" t="s">
        <v>991</v>
      </c>
      <c r="G235" t="str">
        <f t="shared" si="7"/>
        <v>TZ</v>
      </c>
      <c r="K235" t="s">
        <v>3388</v>
      </c>
    </row>
    <row r="236" spans="1:11">
      <c r="A236" s="380" t="s">
        <v>992</v>
      </c>
      <c r="B236" t="s">
        <v>993</v>
      </c>
      <c r="C236" s="376" t="s">
        <v>4097</v>
      </c>
      <c r="D236" s="380" t="str">
        <f t="shared" si="6"/>
        <v>NACE C - 22.21 Manufacture of plastic plates, sheets, tubes and profiles</v>
      </c>
      <c r="E236" s="377" t="s">
        <v>994</v>
      </c>
      <c r="F236" t="s">
        <v>995</v>
      </c>
      <c r="G236" t="str">
        <f t="shared" si="7"/>
        <v>UA</v>
      </c>
      <c r="K236" t="s">
        <v>3389</v>
      </c>
    </row>
    <row r="237" spans="1:11">
      <c r="A237" s="380" t="s">
        <v>996</v>
      </c>
      <c r="B237" t="s">
        <v>997</v>
      </c>
      <c r="C237" s="379" t="s">
        <v>4098</v>
      </c>
      <c r="D237" s="380" t="str">
        <f t="shared" si="6"/>
        <v>NACE C - 22.22 Manufacture of plastic packing goods</v>
      </c>
      <c r="E237" s="377" t="s">
        <v>998</v>
      </c>
      <c r="F237" t="s">
        <v>999</v>
      </c>
      <c r="G237" t="str">
        <f t="shared" si="7"/>
        <v>UG</v>
      </c>
      <c r="K237" t="s">
        <v>3390</v>
      </c>
    </row>
    <row r="238" spans="1:11">
      <c r="A238" s="380" t="s">
        <v>1000</v>
      </c>
      <c r="B238" t="s">
        <v>1001</v>
      </c>
      <c r="C238" s="379" t="s">
        <v>4099</v>
      </c>
      <c r="D238" s="380" t="str">
        <f t="shared" si="6"/>
        <v>NACE C - 22.23 Manufacture of doors and windows of plastic</v>
      </c>
      <c r="E238" s="377" t="s">
        <v>1002</v>
      </c>
      <c r="F238" t="s">
        <v>1003</v>
      </c>
      <c r="G238" t="str">
        <f t="shared" si="7"/>
        <v>UM</v>
      </c>
      <c r="K238" t="s">
        <v>3391</v>
      </c>
    </row>
    <row r="239" spans="1:11">
      <c r="A239" s="380" t="s">
        <v>1004</v>
      </c>
      <c r="B239" t="s">
        <v>1005</v>
      </c>
      <c r="C239" s="380" t="s">
        <v>4100</v>
      </c>
      <c r="D239" s="380" t="str">
        <f t="shared" si="6"/>
        <v>NACE C - 22.24 Manufacture of builders’ ware of plastic</v>
      </c>
      <c r="E239" s="377" t="s">
        <v>1006</v>
      </c>
      <c r="F239" t="s">
        <v>1007</v>
      </c>
      <c r="G239" t="str">
        <f t="shared" si="7"/>
        <v>US</v>
      </c>
      <c r="K239" t="s">
        <v>3392</v>
      </c>
    </row>
    <row r="240" spans="1:11">
      <c r="A240" s="380" t="s">
        <v>1008</v>
      </c>
      <c r="B240" t="s">
        <v>1009</v>
      </c>
      <c r="C240" s="379" t="s">
        <v>4101</v>
      </c>
      <c r="D240" s="380" t="str">
        <f t="shared" si="6"/>
        <v>NACE C - 22.25 Processing and finishing of plastic products</v>
      </c>
      <c r="E240" s="377" t="s">
        <v>1010</v>
      </c>
      <c r="F240" t="s">
        <v>1011</v>
      </c>
      <c r="G240" t="str">
        <f t="shared" si="7"/>
        <v>UY</v>
      </c>
      <c r="K240" t="s">
        <v>3393</v>
      </c>
    </row>
    <row r="241" spans="1:11">
      <c r="A241" s="380" t="s">
        <v>1012</v>
      </c>
      <c r="B241" t="s">
        <v>1013</v>
      </c>
      <c r="C241" s="379" t="s">
        <v>4102</v>
      </c>
      <c r="D241" s="380" t="str">
        <f t="shared" si="6"/>
        <v>NACE C - 22.26 Manufacture of other plastic products</v>
      </c>
      <c r="E241" s="377" t="s">
        <v>1014</v>
      </c>
      <c r="F241" t="s">
        <v>1015</v>
      </c>
      <c r="G241" t="str">
        <f t="shared" si="7"/>
        <v>UZ</v>
      </c>
      <c r="K241" t="s">
        <v>2918</v>
      </c>
    </row>
    <row r="242" spans="1:11">
      <c r="A242" s="376" t="s">
        <v>1016</v>
      </c>
      <c r="B242" t="s">
        <v>1017</v>
      </c>
      <c r="C242" s="377" t="s">
        <v>4090</v>
      </c>
      <c r="D242" s="376" t="str">
        <f t="shared" si="6"/>
        <v>NACE C - 23 Manufacture of other non-metallic mineral products</v>
      </c>
      <c r="E242" s="377" t="s">
        <v>1018</v>
      </c>
      <c r="F242" t="s">
        <v>1019</v>
      </c>
      <c r="G242" t="str">
        <f t="shared" si="7"/>
        <v>VA</v>
      </c>
      <c r="K242" t="s">
        <v>2919</v>
      </c>
    </row>
    <row r="243" spans="1:11">
      <c r="A243" s="379" t="s">
        <v>1020</v>
      </c>
      <c r="B243" t="s">
        <v>1021</v>
      </c>
      <c r="C243" s="376" t="s">
        <v>4104</v>
      </c>
      <c r="D243" s="379" t="str">
        <f t="shared" si="6"/>
        <v>NACE C - 23.1 Manufacture of glass and glass products</v>
      </c>
      <c r="E243" s="377" t="s">
        <v>1022</v>
      </c>
      <c r="F243" t="s">
        <v>1023</v>
      </c>
      <c r="G243" t="str">
        <f t="shared" si="7"/>
        <v>VC</v>
      </c>
      <c r="K243" t="s">
        <v>2920</v>
      </c>
    </row>
    <row r="244" spans="1:11">
      <c r="A244" s="380" t="s">
        <v>1024</v>
      </c>
      <c r="B244" t="s">
        <v>1025</v>
      </c>
      <c r="C244" s="379" t="s">
        <v>4105</v>
      </c>
      <c r="D244" s="380" t="str">
        <f t="shared" si="6"/>
        <v>NACE C - 23.11 Manufacture of flat glass</v>
      </c>
      <c r="E244" s="377" t="s">
        <v>1026</v>
      </c>
      <c r="F244" t="s">
        <v>1027</v>
      </c>
      <c r="G244" t="str">
        <f t="shared" si="7"/>
        <v>VE</v>
      </c>
      <c r="K244" t="s">
        <v>3211</v>
      </c>
    </row>
    <row r="245" spans="1:11">
      <c r="A245" s="380" t="s">
        <v>1028</v>
      </c>
      <c r="B245" t="s">
        <v>1029</v>
      </c>
      <c r="C245" s="379" t="s">
        <v>4106</v>
      </c>
      <c r="D245" s="380" t="str">
        <f t="shared" si="6"/>
        <v>NACE C - 23.12 Shaping and processing of flat glass</v>
      </c>
      <c r="E245" s="377" t="s">
        <v>1030</v>
      </c>
      <c r="F245" t="s">
        <v>1031</v>
      </c>
      <c r="G245" t="str">
        <f t="shared" si="7"/>
        <v>VG</v>
      </c>
      <c r="K245" t="s">
        <v>3394</v>
      </c>
    </row>
    <row r="246" spans="1:11">
      <c r="A246" s="380" t="s">
        <v>1032</v>
      </c>
      <c r="B246" t="s">
        <v>1033</v>
      </c>
      <c r="C246" s="376" t="s">
        <v>4107</v>
      </c>
      <c r="D246" s="380" t="str">
        <f t="shared" si="6"/>
        <v>NACE C - 23.13 Manufacture of hollow glass</v>
      </c>
      <c r="E246" s="377" t="s">
        <v>1034</v>
      </c>
      <c r="F246" t="s">
        <v>1035</v>
      </c>
      <c r="G246" t="str">
        <f t="shared" si="7"/>
        <v>VI</v>
      </c>
      <c r="K246" t="s">
        <v>3395</v>
      </c>
    </row>
    <row r="247" spans="1:11">
      <c r="A247" s="380" t="s">
        <v>1036</v>
      </c>
      <c r="B247" t="s">
        <v>1037</v>
      </c>
      <c r="C247" s="379" t="s">
        <v>4108</v>
      </c>
      <c r="D247" s="380" t="str">
        <f t="shared" si="6"/>
        <v>NACE C - 23.14 Manufacture of glass fibres</v>
      </c>
      <c r="E247" s="377" t="s">
        <v>1038</v>
      </c>
      <c r="F247" t="s">
        <v>1039</v>
      </c>
      <c r="G247" t="str">
        <f t="shared" si="7"/>
        <v>VN</v>
      </c>
      <c r="K247" t="s">
        <v>3396</v>
      </c>
    </row>
    <row r="248" spans="1:11">
      <c r="A248" s="380" t="s">
        <v>1040</v>
      </c>
      <c r="B248" t="s">
        <v>1041</v>
      </c>
      <c r="C248" s="379" t="s">
        <v>4109</v>
      </c>
      <c r="D248" s="380" t="str">
        <f t="shared" si="6"/>
        <v>NACE C - 23.15 Manufacture and processing of other glass, including technical glassware</v>
      </c>
      <c r="E248" s="377" t="s">
        <v>1042</v>
      </c>
      <c r="F248" t="s">
        <v>1043</v>
      </c>
      <c r="G248" t="str">
        <f t="shared" si="7"/>
        <v>VU</v>
      </c>
      <c r="K248" t="s">
        <v>3397</v>
      </c>
    </row>
    <row r="249" spans="1:11">
      <c r="A249" s="379" t="s">
        <v>1044</v>
      </c>
      <c r="B249" t="s">
        <v>1045</v>
      </c>
      <c r="C249" s="376" t="s">
        <v>4110</v>
      </c>
      <c r="D249" s="379" t="str">
        <f t="shared" si="6"/>
        <v>NACE C - 23.2 Manufacture of refractory products</v>
      </c>
      <c r="E249" s="377" t="s">
        <v>1046</v>
      </c>
      <c r="F249" t="s">
        <v>1047</v>
      </c>
      <c r="G249" t="str">
        <f t="shared" si="7"/>
        <v>WF</v>
      </c>
      <c r="K249" t="s">
        <v>3398</v>
      </c>
    </row>
    <row r="250" spans="1:11">
      <c r="A250" s="380" t="s">
        <v>1048</v>
      </c>
      <c r="B250" t="s">
        <v>1049</v>
      </c>
      <c r="C250" s="379" t="s">
        <v>4111</v>
      </c>
      <c r="D250" s="380" t="str">
        <f t="shared" si="6"/>
        <v>NACE C - 23.20 Manufacture of refractory products</v>
      </c>
      <c r="E250" s="377" t="s">
        <v>1050</v>
      </c>
      <c r="F250" t="s">
        <v>1051</v>
      </c>
      <c r="G250" t="str">
        <f t="shared" si="7"/>
        <v>WS</v>
      </c>
      <c r="K250" t="s">
        <v>3399</v>
      </c>
    </row>
    <row r="251" spans="1:11">
      <c r="A251" s="379" t="s">
        <v>1052</v>
      </c>
      <c r="B251" t="s">
        <v>1053</v>
      </c>
      <c r="C251" s="379" t="s">
        <v>4112</v>
      </c>
      <c r="D251" s="379" t="str">
        <f t="shared" si="6"/>
        <v>NACE C - 23.3 Manufacture of clay building materials</v>
      </c>
      <c r="E251" s="377" t="s">
        <v>1054</v>
      </c>
      <c r="F251" t="s">
        <v>1055</v>
      </c>
      <c r="G251" t="str">
        <f t="shared" si="7"/>
        <v>YE</v>
      </c>
      <c r="K251" t="s">
        <v>3400</v>
      </c>
    </row>
    <row r="252" spans="1:11">
      <c r="A252" s="380" t="s">
        <v>1056</v>
      </c>
      <c r="B252" t="s">
        <v>1057</v>
      </c>
      <c r="C252" s="379" t="s">
        <v>4113</v>
      </c>
      <c r="D252" s="380" t="str">
        <f t="shared" si="6"/>
        <v>NACE C - 23.31 Manufacture of ceramic tiles and flags</v>
      </c>
      <c r="E252" s="377" t="s">
        <v>1058</v>
      </c>
      <c r="F252" t="s">
        <v>1059</v>
      </c>
      <c r="G252" t="str">
        <f t="shared" si="7"/>
        <v>YT</v>
      </c>
      <c r="K252" t="s">
        <v>3401</v>
      </c>
    </row>
    <row r="253" spans="1:11">
      <c r="A253" s="380" t="s">
        <v>1060</v>
      </c>
      <c r="B253" t="s">
        <v>1061</v>
      </c>
      <c r="C253" s="377" t="s">
        <v>4103</v>
      </c>
      <c r="D253" s="380" t="str">
        <f t="shared" si="6"/>
        <v>NACE C - 23.32 Manufacture of bricks, tiles and construction products, in baked clay</v>
      </c>
      <c r="E253" s="377" t="s">
        <v>1062</v>
      </c>
      <c r="F253" t="s">
        <v>1063</v>
      </c>
      <c r="G253" t="str">
        <f t="shared" si="7"/>
        <v>YU</v>
      </c>
      <c r="K253" t="s">
        <v>2921</v>
      </c>
    </row>
    <row r="254" spans="1:11">
      <c r="A254" s="379" t="s">
        <v>1064</v>
      </c>
      <c r="B254" t="s">
        <v>1065</v>
      </c>
      <c r="C254" s="376" t="s">
        <v>4115</v>
      </c>
      <c r="D254" s="379" t="str">
        <f t="shared" si="6"/>
        <v>NACE C - 23.4 Manufacture of other porcelain and ceramic products</v>
      </c>
      <c r="E254" s="377" t="s">
        <v>1066</v>
      </c>
      <c r="F254" t="s">
        <v>1067</v>
      </c>
      <c r="G254" t="str">
        <f t="shared" si="7"/>
        <v>ZA</v>
      </c>
      <c r="K254" t="s">
        <v>2922</v>
      </c>
    </row>
    <row r="255" spans="1:11">
      <c r="A255" s="380" t="s">
        <v>1068</v>
      </c>
      <c r="B255" t="s">
        <v>1069</v>
      </c>
      <c r="C255" s="379" t="s">
        <v>4116</v>
      </c>
      <c r="D255" s="380" t="str">
        <f t="shared" si="6"/>
        <v>NACE C - 23.41 Manufacture of ceramic household and ornamental articles</v>
      </c>
      <c r="E255" s="377" t="s">
        <v>1070</v>
      </c>
      <c r="F255" t="s">
        <v>1071</v>
      </c>
      <c r="G255" t="str">
        <f t="shared" si="7"/>
        <v>ZM</v>
      </c>
      <c r="K255" t="s">
        <v>3212</v>
      </c>
    </row>
    <row r="256" spans="1:11">
      <c r="A256" s="380" t="s">
        <v>1072</v>
      </c>
      <c r="B256" t="s">
        <v>1073</v>
      </c>
      <c r="C256" s="379" t="s">
        <v>4117</v>
      </c>
      <c r="D256" s="380" t="str">
        <f t="shared" si="6"/>
        <v>NACE C - 23.42 Manufacture of ceramic sanitary fixtures</v>
      </c>
      <c r="E256" s="377" t="s">
        <v>1074</v>
      </c>
      <c r="F256" t="s">
        <v>1075</v>
      </c>
      <c r="G256" t="str">
        <f t="shared" si="7"/>
        <v>ZR</v>
      </c>
      <c r="K256" t="s">
        <v>3402</v>
      </c>
    </row>
    <row r="257" spans="1:11">
      <c r="A257" s="380" t="s">
        <v>1076</v>
      </c>
      <c r="B257" t="s">
        <v>1077</v>
      </c>
      <c r="C257" s="379" t="s">
        <v>4118</v>
      </c>
      <c r="D257" s="380" t="str">
        <f t="shared" si="6"/>
        <v>NACE C - 23.43 Manufacture of ceramic insulators and insulating fittings</v>
      </c>
      <c r="E257" s="377" t="s">
        <v>1078</v>
      </c>
      <c r="F257" t="s">
        <v>1079</v>
      </c>
      <c r="G257" t="str">
        <f t="shared" si="7"/>
        <v>ZW</v>
      </c>
      <c r="K257" t="s">
        <v>3403</v>
      </c>
    </row>
    <row r="258" spans="1:11">
      <c r="A258" s="380" t="s">
        <v>1080</v>
      </c>
      <c r="B258" t="s">
        <v>1081</v>
      </c>
      <c r="C258" s="376" t="s">
        <v>4119</v>
      </c>
      <c r="D258" s="380" t="str">
        <f t="shared" ref="D258:D321" si="8">_xlfn.CONCAT("NACE ", A258)</f>
        <v>NACE C - 23.44 Manufacture of other technical ceramic products</v>
      </c>
      <c r="K258" t="s">
        <v>3404</v>
      </c>
    </row>
    <row r="259" spans="1:11">
      <c r="A259" s="380" t="s">
        <v>1082</v>
      </c>
      <c r="B259" t="s">
        <v>1083</v>
      </c>
      <c r="C259" s="379" t="s">
        <v>4120</v>
      </c>
      <c r="D259" s="380" t="str">
        <f t="shared" si="8"/>
        <v>NACE C - 23.45 Manufacture of other ceramic products</v>
      </c>
      <c r="K259" t="s">
        <v>3405</v>
      </c>
    </row>
    <row r="260" spans="1:11">
      <c r="A260" s="379" t="s">
        <v>1084</v>
      </c>
      <c r="B260" t="s">
        <v>1085</v>
      </c>
      <c r="C260" s="379" t="s">
        <v>4121</v>
      </c>
      <c r="D260" s="379" t="str">
        <f t="shared" si="8"/>
        <v>NACE C - 23.5 Manufacture of cement, lime and plaster</v>
      </c>
      <c r="K260" t="s">
        <v>3406</v>
      </c>
    </row>
    <row r="261" spans="1:11">
      <c r="A261" s="380" t="s">
        <v>1086</v>
      </c>
      <c r="B261" t="s">
        <v>1087</v>
      </c>
      <c r="C261" s="379" t="s">
        <v>4122</v>
      </c>
      <c r="D261" s="380" t="str">
        <f t="shared" si="8"/>
        <v>NACE C - 23.51 Manufacture of cement</v>
      </c>
      <c r="K261" t="s">
        <v>3407</v>
      </c>
    </row>
    <row r="262" spans="1:11">
      <c r="A262" s="380" t="s">
        <v>1088</v>
      </c>
      <c r="B262" t="s">
        <v>1089</v>
      </c>
      <c r="C262" s="376" t="s">
        <v>4123</v>
      </c>
      <c r="D262" s="380" t="str">
        <f t="shared" si="8"/>
        <v>NACE C - 23.52 Manufacture of lime and plaster</v>
      </c>
      <c r="K262" t="s">
        <v>3408</v>
      </c>
    </row>
    <row r="263" spans="1:11">
      <c r="A263" s="379" t="s">
        <v>1090</v>
      </c>
      <c r="B263" t="s">
        <v>1091</v>
      </c>
      <c r="C263" s="379" t="s">
        <v>4124</v>
      </c>
      <c r="D263" s="379" t="str">
        <f t="shared" si="8"/>
        <v>NACE C - 23.6 Manufacture of articles of concrete, cement and plaster</v>
      </c>
      <c r="K263" t="s">
        <v>3409</v>
      </c>
    </row>
    <row r="264" spans="1:11">
      <c r="A264" s="380" t="s">
        <v>1092</v>
      </c>
      <c r="B264" t="s">
        <v>1093</v>
      </c>
      <c r="C264" s="379" t="s">
        <v>4125</v>
      </c>
      <c r="D264" s="380" t="str">
        <f t="shared" si="8"/>
        <v>NACE C - 23.61 Manufacture of concrete products for construction purposes</v>
      </c>
      <c r="K264" t="s">
        <v>2923</v>
      </c>
    </row>
    <row r="265" spans="1:11">
      <c r="A265" s="380" t="s">
        <v>1094</v>
      </c>
      <c r="B265" t="s">
        <v>1095</v>
      </c>
      <c r="C265" s="377" t="s">
        <v>4114</v>
      </c>
      <c r="D265" s="380" t="str">
        <f t="shared" si="8"/>
        <v>NACE C - 23.62 Manufacture of plaster products for construction purposes</v>
      </c>
      <c r="K265" t="s">
        <v>2924</v>
      </c>
    </row>
    <row r="266" spans="1:11">
      <c r="A266" s="380" t="s">
        <v>1096</v>
      </c>
      <c r="B266" t="s">
        <v>1097</v>
      </c>
      <c r="C266" s="376" t="s">
        <v>4127</v>
      </c>
      <c r="D266" s="380" t="str">
        <f t="shared" si="8"/>
        <v>NACE C - 23.63 Manufacture of ready-mixed concrete</v>
      </c>
      <c r="K266" t="s">
        <v>3213</v>
      </c>
    </row>
    <row r="267" spans="1:11">
      <c r="A267" s="380" t="s">
        <v>1098</v>
      </c>
      <c r="B267" t="s">
        <v>1099</v>
      </c>
      <c r="C267" s="379" t="s">
        <v>4128</v>
      </c>
      <c r="D267" s="380" t="str">
        <f t="shared" si="8"/>
        <v>NACE C - 23.64 Manufacture of mortars</v>
      </c>
      <c r="K267" t="s">
        <v>3410</v>
      </c>
    </row>
    <row r="268" spans="1:11">
      <c r="A268" s="380" t="s">
        <v>1100</v>
      </c>
      <c r="B268" t="s">
        <v>1101</v>
      </c>
      <c r="C268" s="379" t="s">
        <v>4129</v>
      </c>
      <c r="D268" s="380" t="str">
        <f t="shared" si="8"/>
        <v>NACE C - 23.65 Manufacture of fibre cement</v>
      </c>
      <c r="K268" t="s">
        <v>3411</v>
      </c>
    </row>
    <row r="269" spans="1:11">
      <c r="A269" s="380" t="s">
        <v>1102</v>
      </c>
      <c r="B269" t="s">
        <v>1103</v>
      </c>
      <c r="C269" s="379" t="s">
        <v>4130</v>
      </c>
      <c r="D269" s="380" t="str">
        <f t="shared" si="8"/>
        <v>NACE C - 23.66 Manufacture of other articles of concrete, cement and plaster</v>
      </c>
      <c r="K269" t="s">
        <v>3412</v>
      </c>
    </row>
    <row r="270" spans="1:11">
      <c r="A270" s="379" t="s">
        <v>1104</v>
      </c>
      <c r="B270" t="s">
        <v>1105</v>
      </c>
      <c r="C270" s="379" t="s">
        <v>4131</v>
      </c>
      <c r="D270" s="379" t="str">
        <f t="shared" si="8"/>
        <v>NACE C - 23.7 Cutting, shaping and finishing of stone</v>
      </c>
      <c r="K270" t="s">
        <v>3413</v>
      </c>
    </row>
    <row r="271" spans="1:11">
      <c r="A271" s="380" t="s">
        <v>1106</v>
      </c>
      <c r="B271" t="s">
        <v>1107</v>
      </c>
      <c r="C271" s="376" t="s">
        <v>4132</v>
      </c>
      <c r="D271" s="380" t="str">
        <f t="shared" si="8"/>
        <v>NACE C - 23.70 Cutting, shaping and finishing of stone</v>
      </c>
      <c r="K271" t="s">
        <v>3414</v>
      </c>
    </row>
    <row r="272" spans="1:11">
      <c r="A272" s="379" t="s">
        <v>1108</v>
      </c>
      <c r="B272" t="s">
        <v>1109</v>
      </c>
      <c r="C272" s="379" t="s">
        <v>4133</v>
      </c>
      <c r="D272" s="379" t="str">
        <f t="shared" si="8"/>
        <v>NACE C - 23.9 Manufacture of abrasive products and non-metallic mineral products n.e.c.</v>
      </c>
      <c r="K272" t="s">
        <v>3415</v>
      </c>
    </row>
    <row r="273" spans="1:11">
      <c r="A273" s="380" t="s">
        <v>1110</v>
      </c>
      <c r="B273" t="s">
        <v>1111</v>
      </c>
      <c r="C273" s="379" t="s">
        <v>4134</v>
      </c>
      <c r="D273" s="380" t="str">
        <f t="shared" si="8"/>
        <v>NACE C - 23.91 Manufacture of abrasive products</v>
      </c>
      <c r="K273" t="s">
        <v>3416</v>
      </c>
    </row>
    <row r="274" spans="1:11">
      <c r="A274" s="380" t="s">
        <v>1112</v>
      </c>
      <c r="B274" t="s">
        <v>1113</v>
      </c>
      <c r="C274" s="379" t="s">
        <v>4135</v>
      </c>
      <c r="D274" s="380" t="str">
        <f t="shared" si="8"/>
        <v>NACE C - 23.99 Manufacture of other non-metallic mineral products n.e.c.</v>
      </c>
      <c r="K274" t="s">
        <v>3417</v>
      </c>
    </row>
    <row r="275" spans="1:11">
      <c r="A275" s="376" t="s">
        <v>1114</v>
      </c>
      <c r="B275" t="s">
        <v>1115</v>
      </c>
      <c r="C275" s="376" t="s">
        <v>4136</v>
      </c>
      <c r="D275" s="376" t="str">
        <f t="shared" si="8"/>
        <v>NACE C - 24 Manufacture of basic metals</v>
      </c>
      <c r="K275" t="s">
        <v>2925</v>
      </c>
    </row>
    <row r="276" spans="1:11">
      <c r="A276" s="379" t="s">
        <v>1116</v>
      </c>
      <c r="B276" t="s">
        <v>1117</v>
      </c>
      <c r="C276" s="379" t="s">
        <v>4137</v>
      </c>
      <c r="D276" s="379" t="str">
        <f t="shared" si="8"/>
        <v>NACE C - 24.1 Manufacture of basic iron and steel and of ferro-alloys</v>
      </c>
      <c r="K276" t="s">
        <v>2926</v>
      </c>
    </row>
    <row r="277" spans="1:11">
      <c r="A277" s="380" t="s">
        <v>1118</v>
      </c>
      <c r="B277" t="s">
        <v>1119</v>
      </c>
      <c r="C277" s="379" t="s">
        <v>4138</v>
      </c>
      <c r="D277" s="380" t="str">
        <f t="shared" si="8"/>
        <v>NACE C - 24.10 Manufacture of basic iron and steel and of ferro-alloys</v>
      </c>
      <c r="K277" t="s">
        <v>3214</v>
      </c>
    </row>
    <row r="278" spans="1:11">
      <c r="A278" s="379" t="s">
        <v>1120</v>
      </c>
      <c r="B278" t="s">
        <v>1121</v>
      </c>
      <c r="C278" s="379" t="s">
        <v>4139</v>
      </c>
      <c r="D278" s="379" t="str">
        <f t="shared" si="8"/>
        <v>NACE C - 24.2 Manufacture of tubes, pipes, hollow profiles and related fittings, of steel</v>
      </c>
      <c r="K278" t="s">
        <v>3418</v>
      </c>
    </row>
    <row r="279" spans="1:11">
      <c r="A279" s="380" t="s">
        <v>1122</v>
      </c>
      <c r="B279" t="s">
        <v>1123</v>
      </c>
      <c r="C279" s="377" t="s">
        <v>4126</v>
      </c>
      <c r="D279" s="380" t="str">
        <f t="shared" si="8"/>
        <v>NACE C - 24.20 Manufacture of tubes, pipes, hollow profiles and related fittings, of steel</v>
      </c>
      <c r="K279" t="s">
        <v>3419</v>
      </c>
    </row>
    <row r="280" spans="1:11">
      <c r="A280" s="379" t="s">
        <v>1124</v>
      </c>
      <c r="B280" t="s">
        <v>1125</v>
      </c>
      <c r="C280" s="376" t="s">
        <v>4141</v>
      </c>
      <c r="D280" s="379" t="str">
        <f t="shared" si="8"/>
        <v>NACE C - 24.3 Manufacture of other products of first processing of steel</v>
      </c>
      <c r="K280" t="s">
        <v>3420</v>
      </c>
    </row>
    <row r="281" spans="1:11">
      <c r="A281" s="380" t="s">
        <v>1126</v>
      </c>
      <c r="B281" t="s">
        <v>1127</v>
      </c>
      <c r="C281" s="379" t="s">
        <v>4142</v>
      </c>
      <c r="D281" s="380" t="str">
        <f t="shared" si="8"/>
        <v>NACE C - 24.31 Cold drawing of bars</v>
      </c>
      <c r="K281" t="s">
        <v>3421</v>
      </c>
    </row>
    <row r="282" spans="1:11">
      <c r="A282" s="380" t="s">
        <v>1128</v>
      </c>
      <c r="B282" t="s">
        <v>1129</v>
      </c>
      <c r="C282" s="379" t="s">
        <v>4143</v>
      </c>
      <c r="D282" s="380" t="str">
        <f t="shared" si="8"/>
        <v>NACE C - 24.32 Cold rolling of narrow strip</v>
      </c>
      <c r="K282" t="s">
        <v>3422</v>
      </c>
    </row>
    <row r="283" spans="1:11">
      <c r="A283" s="380" t="s">
        <v>1130</v>
      </c>
      <c r="B283" t="s">
        <v>1131</v>
      </c>
      <c r="C283" s="379" t="s">
        <v>4144</v>
      </c>
      <c r="D283" s="380" t="str">
        <f t="shared" si="8"/>
        <v>NACE C - 24.33 Cold forming or folding</v>
      </c>
      <c r="K283" t="s">
        <v>3423</v>
      </c>
    </row>
    <row r="284" spans="1:11">
      <c r="A284" s="380" t="s">
        <v>1132</v>
      </c>
      <c r="B284" t="s">
        <v>1133</v>
      </c>
      <c r="C284" s="377" t="s">
        <v>4140</v>
      </c>
      <c r="D284" s="380" t="str">
        <f t="shared" si="8"/>
        <v>NACE C - 24.34 Cold drawing of wire</v>
      </c>
      <c r="K284" t="s">
        <v>3424</v>
      </c>
    </row>
    <row r="285" spans="1:11">
      <c r="A285" s="379" t="s">
        <v>1134</v>
      </c>
      <c r="B285" t="s">
        <v>1135</v>
      </c>
      <c r="C285" s="376" t="s">
        <v>4146</v>
      </c>
      <c r="D285" s="379" t="str">
        <f t="shared" si="8"/>
        <v>NACE C - 24.4 Manufacture of basic precious and other non-ferrous metals</v>
      </c>
      <c r="K285" t="s">
        <v>3425</v>
      </c>
    </row>
    <row r="286" spans="1:11">
      <c r="A286" s="380" t="s">
        <v>1136</v>
      </c>
      <c r="B286" t="s">
        <v>1137</v>
      </c>
      <c r="C286" s="379" t="s">
        <v>4147</v>
      </c>
      <c r="D286" s="380" t="str">
        <f t="shared" si="8"/>
        <v>NACE C - 24.41 Precious metals production</v>
      </c>
      <c r="K286" t="s">
        <v>2927</v>
      </c>
    </row>
    <row r="287" spans="1:11">
      <c r="A287" s="380" t="s">
        <v>1138</v>
      </c>
      <c r="B287" t="s">
        <v>1139</v>
      </c>
      <c r="C287" s="379" t="s">
        <v>4148</v>
      </c>
      <c r="D287" s="380" t="str">
        <f t="shared" si="8"/>
        <v>NACE C - 24.42 Aluminium production</v>
      </c>
      <c r="K287" t="s">
        <v>2928</v>
      </c>
    </row>
    <row r="288" spans="1:11">
      <c r="A288" s="380" t="s">
        <v>1140</v>
      </c>
      <c r="B288" t="s">
        <v>1141</v>
      </c>
      <c r="C288" s="376" t="s">
        <v>4149</v>
      </c>
      <c r="D288" s="380" t="str">
        <f t="shared" si="8"/>
        <v>NACE C - 24.43 Lead, zinc and tin production</v>
      </c>
      <c r="K288" t="s">
        <v>3215</v>
      </c>
    </row>
    <row r="289" spans="1:11">
      <c r="A289" s="380" t="s">
        <v>1142</v>
      </c>
      <c r="B289" t="s">
        <v>1143</v>
      </c>
      <c r="C289" s="379" t="s">
        <v>4150</v>
      </c>
      <c r="D289" s="380" t="str">
        <f t="shared" si="8"/>
        <v>NACE C - 24.44 Copper production</v>
      </c>
      <c r="K289" t="s">
        <v>3426</v>
      </c>
    </row>
    <row r="290" spans="1:11">
      <c r="A290" s="380" t="s">
        <v>1144</v>
      </c>
      <c r="B290" t="s">
        <v>1145</v>
      </c>
      <c r="C290" s="379" t="s">
        <v>4151</v>
      </c>
      <c r="D290" s="380" t="str">
        <f t="shared" si="8"/>
        <v>NACE C - 24.45 Other non-ferrous metal production</v>
      </c>
      <c r="K290" t="s">
        <v>3427</v>
      </c>
    </row>
    <row r="291" spans="1:11">
      <c r="A291" s="380" t="s">
        <v>1146</v>
      </c>
      <c r="B291" t="s">
        <v>1147</v>
      </c>
      <c r="C291" s="376" t="s">
        <v>4152</v>
      </c>
      <c r="D291" s="380" t="str">
        <f t="shared" si="8"/>
        <v>NACE C - 24.46 Processing of nuclear fuel</v>
      </c>
      <c r="K291" t="s">
        <v>3428</v>
      </c>
    </row>
    <row r="292" spans="1:11">
      <c r="A292" s="379" t="s">
        <v>1148</v>
      </c>
      <c r="B292" t="s">
        <v>1149</v>
      </c>
      <c r="C292" s="379" t="s">
        <v>4153</v>
      </c>
      <c r="D292" s="379" t="str">
        <f t="shared" si="8"/>
        <v>NACE C - 24.5 Casting of metals</v>
      </c>
      <c r="K292" t="s">
        <v>3429</v>
      </c>
    </row>
    <row r="293" spans="1:11">
      <c r="A293" s="380" t="s">
        <v>1150</v>
      </c>
      <c r="B293" t="s">
        <v>1151</v>
      </c>
      <c r="C293" s="379" t="s">
        <v>4154</v>
      </c>
      <c r="D293" s="380" t="str">
        <f t="shared" si="8"/>
        <v>NACE C - 24.51 Casting of iron</v>
      </c>
      <c r="K293" t="s">
        <v>3430</v>
      </c>
    </row>
    <row r="294" spans="1:11">
      <c r="A294" s="380" t="s">
        <v>1152</v>
      </c>
      <c r="B294" t="s">
        <v>1153</v>
      </c>
      <c r="C294" s="376" t="s">
        <v>4155</v>
      </c>
      <c r="D294" s="380" t="str">
        <f t="shared" si="8"/>
        <v>NACE C - 24.52 Casting of steel</v>
      </c>
      <c r="K294" t="s">
        <v>3431</v>
      </c>
    </row>
    <row r="295" spans="1:11">
      <c r="A295" s="380" t="s">
        <v>1154</v>
      </c>
      <c r="B295" t="s">
        <v>1155</v>
      </c>
      <c r="C295" s="379" t="s">
        <v>4156</v>
      </c>
      <c r="D295" s="380" t="str">
        <f t="shared" si="8"/>
        <v>NACE C - 24.53 Casting of light metals</v>
      </c>
      <c r="K295" t="s">
        <v>3432</v>
      </c>
    </row>
    <row r="296" spans="1:11">
      <c r="A296" s="380" t="s">
        <v>1156</v>
      </c>
      <c r="B296" t="s">
        <v>1157</v>
      </c>
      <c r="C296" s="379" t="s">
        <v>4157</v>
      </c>
      <c r="D296" s="380" t="str">
        <f t="shared" si="8"/>
        <v>NACE C - 24.54 Casting of other non-ferrous metals</v>
      </c>
      <c r="K296" t="s">
        <v>3433</v>
      </c>
    </row>
    <row r="297" spans="1:11">
      <c r="A297" s="376" t="s">
        <v>1158</v>
      </c>
      <c r="B297" t="s">
        <v>1159</v>
      </c>
      <c r="C297" s="376" t="s">
        <v>4158</v>
      </c>
      <c r="D297" s="376" t="str">
        <f t="shared" si="8"/>
        <v>NACE C - 25 Manufacture of fabricated metal products, except machinery and equipment</v>
      </c>
      <c r="K297" t="s">
        <v>2929</v>
      </c>
    </row>
    <row r="298" spans="1:11">
      <c r="A298" s="379" t="s">
        <v>1160</v>
      </c>
      <c r="B298" t="s">
        <v>1161</v>
      </c>
      <c r="C298" s="379" t="s">
        <v>4159</v>
      </c>
      <c r="D298" s="379" t="str">
        <f t="shared" si="8"/>
        <v>NACE C - 25.1 Manufacture of structural metal products</v>
      </c>
      <c r="K298" t="s">
        <v>2930</v>
      </c>
    </row>
    <row r="299" spans="1:11">
      <c r="A299" s="380" t="s">
        <v>1162</v>
      </c>
      <c r="B299" t="s">
        <v>1163</v>
      </c>
      <c r="C299" s="379" t="s">
        <v>4160</v>
      </c>
      <c r="D299" s="380" t="str">
        <f t="shared" si="8"/>
        <v>NACE C - 25.11 Manufacture of metal structures and parts of structures</v>
      </c>
      <c r="K299" t="s">
        <v>2760</v>
      </c>
    </row>
    <row r="300" spans="1:11">
      <c r="A300" s="380" t="s">
        <v>1164</v>
      </c>
      <c r="B300" t="s">
        <v>1165</v>
      </c>
      <c r="C300" s="379" t="s">
        <v>4161</v>
      </c>
      <c r="D300" s="380" t="str">
        <f t="shared" si="8"/>
        <v>NACE C - 25.12 Manufacture of doors and windows of metal</v>
      </c>
      <c r="K300" t="s">
        <v>3216</v>
      </c>
    </row>
    <row r="301" spans="1:11">
      <c r="A301" s="379" t="s">
        <v>1166</v>
      </c>
      <c r="B301" t="s">
        <v>1167</v>
      </c>
      <c r="C301" s="376" t="s">
        <v>4162</v>
      </c>
      <c r="D301" s="379" t="str">
        <f t="shared" si="8"/>
        <v>NACE C - 25.2 Manufacture of tanks, reservoirs and containers of metal</v>
      </c>
      <c r="K301" t="s">
        <v>3434</v>
      </c>
    </row>
    <row r="302" spans="1:11">
      <c r="A302" s="380" t="s">
        <v>1168</v>
      </c>
      <c r="B302" t="s">
        <v>1169</v>
      </c>
      <c r="C302" s="379" t="s">
        <v>4163</v>
      </c>
      <c r="D302" s="380" t="str">
        <f t="shared" si="8"/>
        <v>NACE C - 25.21 Manufacture of central heating radiators, steam generators and boilers</v>
      </c>
      <c r="K302" t="s">
        <v>2931</v>
      </c>
    </row>
    <row r="303" spans="1:11">
      <c r="A303" s="380" t="s">
        <v>1170</v>
      </c>
      <c r="B303" t="s">
        <v>1171</v>
      </c>
      <c r="C303" s="379" t="s">
        <v>4164</v>
      </c>
      <c r="D303" s="380" t="str">
        <f t="shared" si="8"/>
        <v>NACE C - 25.22 Manufacture of other tanks, reservoirs and containers of metal</v>
      </c>
      <c r="K303" t="s">
        <v>3435</v>
      </c>
    </row>
    <row r="304" spans="1:11">
      <c r="A304" s="379" t="s">
        <v>1172</v>
      </c>
      <c r="B304" t="s">
        <v>1173</v>
      </c>
      <c r="C304" s="379" t="s">
        <v>4165</v>
      </c>
      <c r="D304" s="379" t="str">
        <f t="shared" si="8"/>
        <v>NACE C - 25.3 Manufacture of weapons and ammunition</v>
      </c>
      <c r="K304" t="s">
        <v>2932</v>
      </c>
    </row>
    <row r="305" spans="1:11">
      <c r="A305" s="380" t="s">
        <v>1174</v>
      </c>
      <c r="B305" t="s">
        <v>1175</v>
      </c>
      <c r="C305" s="379" t="s">
        <v>4166</v>
      </c>
      <c r="D305" s="380" t="str">
        <f t="shared" si="8"/>
        <v>NACE C - 25.30 Manufacture of weapons and ammunition</v>
      </c>
      <c r="K305" t="s">
        <v>3436</v>
      </c>
    </row>
    <row r="306" spans="1:11">
      <c r="A306" s="379" t="s">
        <v>1176</v>
      </c>
      <c r="B306" t="s">
        <v>1177</v>
      </c>
      <c r="C306" s="376" t="s">
        <v>4167</v>
      </c>
      <c r="D306" s="379" t="str">
        <f t="shared" si="8"/>
        <v>NACE C - 25.4 Forging and shaping metal and powder metallurgy</v>
      </c>
      <c r="K306" t="s">
        <v>2933</v>
      </c>
    </row>
    <row r="307" spans="1:11">
      <c r="A307" s="380" t="s">
        <v>1178</v>
      </c>
      <c r="B307" t="s">
        <v>1179</v>
      </c>
      <c r="C307" s="379" t="s">
        <v>4168</v>
      </c>
      <c r="D307" s="380" t="str">
        <f t="shared" si="8"/>
        <v>NACE C - 25.40 Forging and shaping metal and powder metallurgy</v>
      </c>
      <c r="K307" t="s">
        <v>3437</v>
      </c>
    </row>
    <row r="308" spans="1:11">
      <c r="A308" s="379" t="s">
        <v>1180</v>
      </c>
      <c r="B308" t="s">
        <v>1181</v>
      </c>
      <c r="C308" s="377" t="s">
        <v>4145</v>
      </c>
      <c r="D308" s="379" t="str">
        <f t="shared" si="8"/>
        <v>NACE C - 25.5 Treatment and coating of metals; machining</v>
      </c>
      <c r="K308" t="s">
        <v>2934</v>
      </c>
    </row>
    <row r="309" spans="1:11">
      <c r="A309" s="380" t="s">
        <v>1182</v>
      </c>
      <c r="B309" t="s">
        <v>1183</v>
      </c>
      <c r="C309" s="376" t="s">
        <v>4170</v>
      </c>
      <c r="D309" s="380" t="str">
        <f t="shared" si="8"/>
        <v>NACE C - 25.51 Coating of metals</v>
      </c>
      <c r="K309" t="s">
        <v>3438</v>
      </c>
    </row>
    <row r="310" spans="1:11">
      <c r="A310" s="380" t="s">
        <v>1184</v>
      </c>
      <c r="B310" t="s">
        <v>1185</v>
      </c>
      <c r="C310" s="379" t="s">
        <v>4171</v>
      </c>
      <c r="D310" s="380" t="str">
        <f t="shared" si="8"/>
        <v>NACE C - 25.52 Heat treatment of metals</v>
      </c>
      <c r="K310" t="s">
        <v>2935</v>
      </c>
    </row>
    <row r="311" spans="1:11">
      <c r="A311" s="380" t="s">
        <v>1186</v>
      </c>
      <c r="B311" t="s">
        <v>1187</v>
      </c>
      <c r="C311" s="379" t="s">
        <v>4172</v>
      </c>
      <c r="D311" s="380" t="str">
        <f t="shared" si="8"/>
        <v>NACE C - 25.53 Machining of metals</v>
      </c>
      <c r="K311" t="s">
        <v>3439</v>
      </c>
    </row>
    <row r="312" spans="1:11">
      <c r="A312" s="379" t="s">
        <v>1188</v>
      </c>
      <c r="B312" t="s">
        <v>1189</v>
      </c>
      <c r="C312" s="379" t="s">
        <v>4173</v>
      </c>
      <c r="D312" s="379" t="str">
        <f t="shared" si="8"/>
        <v>NACE C - 25.6 Manufacture of cutlery, tools and general hardware</v>
      </c>
      <c r="K312" t="s">
        <v>2936</v>
      </c>
    </row>
    <row r="313" spans="1:11">
      <c r="A313" s="380" t="s">
        <v>1190</v>
      </c>
      <c r="B313" t="s">
        <v>1191</v>
      </c>
      <c r="C313" s="379" t="s">
        <v>4174</v>
      </c>
      <c r="D313" s="380" t="str">
        <f t="shared" si="8"/>
        <v>NACE C - 25.61 Manufacture of cutlery</v>
      </c>
      <c r="K313" t="s">
        <v>3217</v>
      </c>
    </row>
    <row r="314" spans="1:11">
      <c r="A314" s="380" t="s">
        <v>1192</v>
      </c>
      <c r="B314" t="s">
        <v>1193</v>
      </c>
      <c r="C314" s="379" t="s">
        <v>4175</v>
      </c>
      <c r="D314" s="380" t="str">
        <f t="shared" si="8"/>
        <v>NACE C - 25.62 Manufacture of locks and hinges</v>
      </c>
      <c r="K314" t="s">
        <v>2937</v>
      </c>
    </row>
    <row r="315" spans="1:11">
      <c r="A315" s="380" t="s">
        <v>1194</v>
      </c>
      <c r="B315" t="s">
        <v>1195</v>
      </c>
      <c r="C315" s="376" t="s">
        <v>4176</v>
      </c>
      <c r="D315" s="380" t="str">
        <f t="shared" si="8"/>
        <v>NACE C - 25.63 Manufacture of tools</v>
      </c>
      <c r="K315" t="s">
        <v>2938</v>
      </c>
    </row>
    <row r="316" spans="1:11">
      <c r="A316" s="379" t="s">
        <v>1196</v>
      </c>
      <c r="B316" t="s">
        <v>1197</v>
      </c>
      <c r="C316" s="379" t="s">
        <v>4177</v>
      </c>
      <c r="D316" s="379" t="str">
        <f t="shared" si="8"/>
        <v>NACE C - 25.9 Manufacture of other fabricated metal products</v>
      </c>
      <c r="K316" t="s">
        <v>2939</v>
      </c>
    </row>
    <row r="317" spans="1:11">
      <c r="A317" s="380" t="s">
        <v>1198</v>
      </c>
      <c r="B317" t="s">
        <v>1199</v>
      </c>
      <c r="C317" s="379" t="s">
        <v>4178</v>
      </c>
      <c r="D317" s="380" t="str">
        <f t="shared" si="8"/>
        <v>NACE C - 25.91 Manufacture of steel drums and similar containers</v>
      </c>
      <c r="K317" t="s">
        <v>2940</v>
      </c>
    </row>
    <row r="318" spans="1:11">
      <c r="A318" s="380" t="s">
        <v>1200</v>
      </c>
      <c r="B318" t="s">
        <v>1201</v>
      </c>
      <c r="C318" s="376" t="s">
        <v>4179</v>
      </c>
      <c r="D318" s="380" t="str">
        <f t="shared" si="8"/>
        <v>NACE C - 25.92 Manufacture of light metal packaging</v>
      </c>
      <c r="K318" t="s">
        <v>3218</v>
      </c>
    </row>
    <row r="319" spans="1:11">
      <c r="A319" s="380" t="s">
        <v>1202</v>
      </c>
      <c r="B319" t="s">
        <v>1203</v>
      </c>
      <c r="C319" s="379" t="s">
        <v>4180</v>
      </c>
      <c r="D319" s="380" t="str">
        <f t="shared" si="8"/>
        <v>NACE C - 25.93 Manufacture of wire products, chain and springs</v>
      </c>
      <c r="K319" t="s">
        <v>3440</v>
      </c>
    </row>
    <row r="320" spans="1:11">
      <c r="A320" s="380" t="s">
        <v>1204</v>
      </c>
      <c r="B320" t="s">
        <v>1205</v>
      </c>
      <c r="C320" s="379" t="s">
        <v>4181</v>
      </c>
      <c r="D320" s="380" t="str">
        <f t="shared" si="8"/>
        <v>NACE C - 25.94 Manufacture of fasteners and screw machine products</v>
      </c>
      <c r="K320" t="s">
        <v>3441</v>
      </c>
    </row>
    <row r="321" spans="1:11">
      <c r="A321" s="380" t="s">
        <v>1206</v>
      </c>
      <c r="B321" t="s">
        <v>1207</v>
      </c>
      <c r="C321" s="376" t="s">
        <v>4182</v>
      </c>
      <c r="D321" s="380" t="str">
        <f t="shared" si="8"/>
        <v>NACE C - 25.99 Manufacture of other fabricated metal products n.e.c.</v>
      </c>
      <c r="K321" t="s">
        <v>2941</v>
      </c>
    </row>
    <row r="322" spans="1:11">
      <c r="A322" s="376" t="s">
        <v>1208</v>
      </c>
      <c r="B322" t="s">
        <v>1209</v>
      </c>
      <c r="C322" s="379" t="s">
        <v>4183</v>
      </c>
      <c r="D322" s="376" t="str">
        <f t="shared" ref="D322:D385" si="9">_xlfn.CONCAT("NACE ", A322)</f>
        <v>NACE C - 26 Manufacture of computer, electronic and optical products</v>
      </c>
      <c r="K322" t="s">
        <v>2942</v>
      </c>
    </row>
    <row r="323" spans="1:11">
      <c r="A323" s="379" t="s">
        <v>1210</v>
      </c>
      <c r="B323" t="s">
        <v>1211</v>
      </c>
      <c r="C323" s="376" t="s">
        <v>4184</v>
      </c>
      <c r="D323" s="379" t="str">
        <f t="shared" si="9"/>
        <v>NACE C - 26.1 Manufacture of electronic components and boards</v>
      </c>
      <c r="K323" t="s">
        <v>3442</v>
      </c>
    </row>
    <row r="324" spans="1:11">
      <c r="A324" s="380" t="s">
        <v>1212</v>
      </c>
      <c r="B324" t="s">
        <v>1213</v>
      </c>
      <c r="C324" s="379" t="s">
        <v>4185</v>
      </c>
      <c r="D324" s="380" t="str">
        <f t="shared" si="9"/>
        <v>NACE C - 26.11 Manufacture of electronic components</v>
      </c>
      <c r="K324" t="s">
        <v>3443</v>
      </c>
    </row>
    <row r="325" spans="1:11">
      <c r="A325" s="380" t="s">
        <v>1214</v>
      </c>
      <c r="B325" t="s">
        <v>1215</v>
      </c>
      <c r="C325" s="379" t="s">
        <v>4186</v>
      </c>
      <c r="D325" s="380" t="str">
        <f t="shared" si="9"/>
        <v>NACE C - 26.12 Manufacture of loaded electronic boards</v>
      </c>
      <c r="K325" t="s">
        <v>2943</v>
      </c>
    </row>
    <row r="326" spans="1:11">
      <c r="A326" s="379" t="s">
        <v>1216</v>
      </c>
      <c r="B326" t="s">
        <v>1217</v>
      </c>
      <c r="C326" s="379" t="s">
        <v>4187</v>
      </c>
      <c r="D326" s="379" t="str">
        <f t="shared" si="9"/>
        <v>NACE C - 26.2 Manufacture of computers and peripheral equipment</v>
      </c>
      <c r="K326" t="s">
        <v>2944</v>
      </c>
    </row>
    <row r="327" spans="1:11">
      <c r="A327" s="380" t="s">
        <v>1218</v>
      </c>
      <c r="B327" t="s">
        <v>1219</v>
      </c>
      <c r="C327" s="376" t="s">
        <v>4188</v>
      </c>
      <c r="D327" s="380" t="str">
        <f t="shared" si="9"/>
        <v>NACE C - 26.20 Manufacture of computers and peripheral equipment</v>
      </c>
      <c r="K327" t="s">
        <v>2945</v>
      </c>
    </row>
    <row r="328" spans="1:11">
      <c r="A328" s="379" t="s">
        <v>1220</v>
      </c>
      <c r="B328" t="s">
        <v>1221</v>
      </c>
      <c r="C328" s="379" t="s">
        <v>4189</v>
      </c>
      <c r="D328" s="379" t="str">
        <f t="shared" si="9"/>
        <v>NACE C - 26.3 Manufacture of communication equipment</v>
      </c>
      <c r="K328" t="s">
        <v>3444</v>
      </c>
    </row>
    <row r="329" spans="1:11">
      <c r="A329" s="380" t="s">
        <v>1222</v>
      </c>
      <c r="B329" t="s">
        <v>1223</v>
      </c>
      <c r="C329" s="379" t="s">
        <v>4190</v>
      </c>
      <c r="D329" s="380" t="str">
        <f t="shared" si="9"/>
        <v>NACE C - 26.30 Manufacture of communication equipment</v>
      </c>
      <c r="K329" t="s">
        <v>3445</v>
      </c>
    </row>
    <row r="330" spans="1:11">
      <c r="A330" s="379" t="s">
        <v>1224</v>
      </c>
      <c r="B330" t="s">
        <v>1225</v>
      </c>
      <c r="C330" s="379" t="s">
        <v>4191</v>
      </c>
      <c r="D330" s="379" t="str">
        <f t="shared" si="9"/>
        <v>NACE C - 26.4 Manufacture of consumer electronics</v>
      </c>
      <c r="K330" t="s">
        <v>2946</v>
      </c>
    </row>
    <row r="331" spans="1:11">
      <c r="A331" s="380" t="s">
        <v>1226</v>
      </c>
      <c r="B331" t="s">
        <v>1227</v>
      </c>
      <c r="C331" s="379" t="s">
        <v>4192</v>
      </c>
      <c r="D331" s="380" t="str">
        <f t="shared" si="9"/>
        <v>NACE C - 26.40 Manufacture of consumer electronics</v>
      </c>
      <c r="K331" t="s">
        <v>3219</v>
      </c>
    </row>
    <row r="332" spans="1:11">
      <c r="A332" s="379" t="s">
        <v>1228</v>
      </c>
      <c r="B332" t="s">
        <v>1229</v>
      </c>
      <c r="C332" s="379" t="s">
        <v>4193</v>
      </c>
      <c r="D332" s="379" t="str">
        <f t="shared" si="9"/>
        <v>NACE C - 26.5 Manufacture of measuring testing instruments, clocks and watches</v>
      </c>
      <c r="K332" t="s">
        <v>3446</v>
      </c>
    </row>
    <row r="333" spans="1:11">
      <c r="A333" s="380" t="s">
        <v>1230</v>
      </c>
      <c r="B333" t="s">
        <v>1231</v>
      </c>
      <c r="C333" s="377" t="s">
        <v>4169</v>
      </c>
      <c r="D333" s="380" t="str">
        <f t="shared" si="9"/>
        <v>NACE C - 26.51 Manufacture of instruments and appliances for measuring, testing and navigation</v>
      </c>
      <c r="K333" t="s">
        <v>2947</v>
      </c>
    </row>
    <row r="334" spans="1:11">
      <c r="A334" s="380" t="s">
        <v>1232</v>
      </c>
      <c r="B334" t="s">
        <v>1233</v>
      </c>
      <c r="C334" s="376" t="s">
        <v>4195</v>
      </c>
      <c r="D334" s="380" t="str">
        <f t="shared" si="9"/>
        <v>NACE C - 26.52 Manufacture of watches and clocks</v>
      </c>
      <c r="K334" t="s">
        <v>3447</v>
      </c>
    </row>
    <row r="335" spans="1:11">
      <c r="A335" s="379" t="s">
        <v>1234</v>
      </c>
      <c r="B335" t="s">
        <v>1235</v>
      </c>
      <c r="C335" s="379" t="s">
        <v>4196</v>
      </c>
      <c r="D335" s="379" t="str">
        <f t="shared" si="9"/>
        <v>NACE C - 26.6 Manufacture of irradiation, electromedical and electrotherapeutic equipment</v>
      </c>
      <c r="K335" t="s">
        <v>2948</v>
      </c>
    </row>
    <row r="336" spans="1:11">
      <c r="A336" s="380" t="s">
        <v>1236</v>
      </c>
      <c r="B336" t="s">
        <v>1237</v>
      </c>
      <c r="C336" s="379" t="s">
        <v>4197</v>
      </c>
      <c r="D336" s="380" t="str">
        <f t="shared" si="9"/>
        <v>NACE C - 26.60 Manufacture of irradiation, electromedical and electrotherapeutic equipment</v>
      </c>
      <c r="K336" t="s">
        <v>3448</v>
      </c>
    </row>
    <row r="337" spans="1:11">
      <c r="A337" s="379" t="s">
        <v>1238</v>
      </c>
      <c r="B337" t="s">
        <v>1239</v>
      </c>
      <c r="C337" s="379" t="s">
        <v>4198</v>
      </c>
      <c r="D337" s="379" t="str">
        <f t="shared" si="9"/>
        <v>NACE C - 26.7 Manufacture of optical instruments, magnetic and optical media and photographic equipment</v>
      </c>
      <c r="K337" t="s">
        <v>2949</v>
      </c>
    </row>
    <row r="338" spans="1:11">
      <c r="A338" s="380" t="s">
        <v>1240</v>
      </c>
      <c r="B338" t="s">
        <v>1241</v>
      </c>
      <c r="C338" s="377" t="s">
        <v>4194</v>
      </c>
      <c r="D338" s="380" t="str">
        <f t="shared" si="9"/>
        <v>NACE C - 26.70 Manufacture of optical instruments, magnetic and optical media and photographic equipment</v>
      </c>
      <c r="K338" t="s">
        <v>3449</v>
      </c>
    </row>
    <row r="339" spans="1:11">
      <c r="A339" s="376" t="s">
        <v>1242</v>
      </c>
      <c r="B339" t="s">
        <v>1243</v>
      </c>
      <c r="C339" s="376" t="s">
        <v>4200</v>
      </c>
      <c r="D339" s="376" t="str">
        <f t="shared" si="9"/>
        <v>NACE C - 27 Manufacture of electrical equipment</v>
      </c>
      <c r="K339" t="s">
        <v>2950</v>
      </c>
    </row>
    <row r="340" spans="1:11">
      <c r="A340" s="379" t="s">
        <v>1244</v>
      </c>
      <c r="B340" t="s">
        <v>1245</v>
      </c>
      <c r="C340" s="379" t="s">
        <v>4201</v>
      </c>
      <c r="D340" s="379" t="str">
        <f t="shared" si="9"/>
        <v>NACE C - 27.1 Manufacture of electric motors, generators, transformers and electricity distribution and control apparatus</v>
      </c>
      <c r="K340" t="s">
        <v>2951</v>
      </c>
    </row>
    <row r="341" spans="1:11">
      <c r="A341" s="380" t="s">
        <v>1246</v>
      </c>
      <c r="B341" t="s">
        <v>1247</v>
      </c>
      <c r="C341" s="379" t="s">
        <v>4202</v>
      </c>
      <c r="D341" s="380" t="str">
        <f t="shared" si="9"/>
        <v>NACE C - 27.11 Manufacture of electric motors, generators and transformers</v>
      </c>
      <c r="K341" t="s">
        <v>3220</v>
      </c>
    </row>
    <row r="342" spans="1:11">
      <c r="A342" s="380" t="s">
        <v>1248</v>
      </c>
      <c r="B342" t="s">
        <v>1249</v>
      </c>
      <c r="C342" s="379" t="s">
        <v>4203</v>
      </c>
      <c r="D342" s="380" t="str">
        <f t="shared" si="9"/>
        <v>NACE C - 27.12 Manufacture of electricity distribution and control apparatus</v>
      </c>
      <c r="K342" t="s">
        <v>3450</v>
      </c>
    </row>
    <row r="343" spans="1:11">
      <c r="A343" s="379" t="s">
        <v>1250</v>
      </c>
      <c r="B343" t="s">
        <v>1251</v>
      </c>
      <c r="C343" s="379" t="s">
        <v>4204</v>
      </c>
      <c r="D343" s="379" t="str">
        <f t="shared" si="9"/>
        <v>NACE C - 27.2 Manufacture of batteries and accumulators</v>
      </c>
      <c r="K343" t="s">
        <v>2761</v>
      </c>
    </row>
    <row r="344" spans="1:11">
      <c r="A344" s="380" t="s">
        <v>1252</v>
      </c>
      <c r="B344" t="s">
        <v>1253</v>
      </c>
      <c r="C344" s="379" t="s">
        <v>4205</v>
      </c>
      <c r="D344" s="380" t="str">
        <f t="shared" si="9"/>
        <v>NACE C - 27.20 Manufacture of batteries and accumulators</v>
      </c>
      <c r="K344" t="s">
        <v>3221</v>
      </c>
    </row>
    <row r="345" spans="1:11">
      <c r="A345" s="379" t="s">
        <v>1254</v>
      </c>
      <c r="B345" t="s">
        <v>1255</v>
      </c>
      <c r="C345" s="379" t="s">
        <v>4206</v>
      </c>
      <c r="D345" s="379" t="str">
        <f t="shared" si="9"/>
        <v>NACE C - 27.3 Manufacture of wiring and wiring devices</v>
      </c>
      <c r="K345" t="s">
        <v>3451</v>
      </c>
    </row>
    <row r="346" spans="1:11">
      <c r="A346" s="380" t="s">
        <v>1256</v>
      </c>
      <c r="B346" t="s">
        <v>1257</v>
      </c>
      <c r="C346" s="377" t="s">
        <v>4199</v>
      </c>
      <c r="D346" s="380" t="str">
        <f t="shared" si="9"/>
        <v>NACE C - 27.31 Manufacture of fibre optic cables</v>
      </c>
      <c r="K346" t="s">
        <v>3452</v>
      </c>
    </row>
    <row r="347" spans="1:11">
      <c r="A347" s="380" t="s">
        <v>1258</v>
      </c>
      <c r="B347" t="s">
        <v>1259</v>
      </c>
      <c r="C347" s="376" t="s">
        <v>4208</v>
      </c>
      <c r="D347" s="380" t="str">
        <f t="shared" si="9"/>
        <v>NACE C - 27.32 Manufacture of other electronic and electric wires and cables</v>
      </c>
      <c r="K347" t="s">
        <v>3453</v>
      </c>
    </row>
    <row r="348" spans="1:11">
      <c r="A348" s="380" t="s">
        <v>1260</v>
      </c>
      <c r="B348" t="s">
        <v>1261</v>
      </c>
      <c r="C348" s="379" t="s">
        <v>4209</v>
      </c>
      <c r="D348" s="380" t="str">
        <f t="shared" si="9"/>
        <v>NACE C - 27.33 Manufacture of wiring devices</v>
      </c>
      <c r="K348" t="s">
        <v>3454</v>
      </c>
    </row>
    <row r="349" spans="1:11">
      <c r="A349" s="379" t="s">
        <v>1262</v>
      </c>
      <c r="B349" t="s">
        <v>1263</v>
      </c>
      <c r="C349" s="379" t="s">
        <v>4210</v>
      </c>
      <c r="D349" s="379" t="str">
        <f t="shared" si="9"/>
        <v>NACE C - 27.4 Manufacture of lighting equipment</v>
      </c>
      <c r="K349" t="s">
        <v>3455</v>
      </c>
    </row>
    <row r="350" spans="1:11">
      <c r="A350" s="380" t="s">
        <v>1264</v>
      </c>
      <c r="B350" t="s">
        <v>1265</v>
      </c>
      <c r="C350" s="379" t="s">
        <v>4211</v>
      </c>
      <c r="D350" s="380" t="str">
        <f t="shared" si="9"/>
        <v>NACE C - 27.40 Manufacture of lighting equipment</v>
      </c>
      <c r="K350" t="s">
        <v>3456</v>
      </c>
    </row>
    <row r="351" spans="1:11">
      <c r="A351" s="379" t="s">
        <v>1266</v>
      </c>
      <c r="B351" t="s">
        <v>1267</v>
      </c>
      <c r="C351" s="376" t="s">
        <v>4212</v>
      </c>
      <c r="D351" s="379" t="str">
        <f t="shared" si="9"/>
        <v>NACE C - 27.5 Manufacture of domestic appliances</v>
      </c>
      <c r="K351" t="s">
        <v>2952</v>
      </c>
    </row>
    <row r="352" spans="1:11">
      <c r="A352" s="380" t="s">
        <v>1268</v>
      </c>
      <c r="B352" t="s">
        <v>1269</v>
      </c>
      <c r="C352" s="379" t="s">
        <v>4213</v>
      </c>
      <c r="D352" s="380" t="str">
        <f t="shared" si="9"/>
        <v>NACE C - 27.51 Manufacture of electric domestic appliances</v>
      </c>
      <c r="K352" t="s">
        <v>2953</v>
      </c>
    </row>
    <row r="353" spans="1:11">
      <c r="A353" s="380" t="s">
        <v>1270</v>
      </c>
      <c r="B353" t="s">
        <v>1271</v>
      </c>
      <c r="C353" s="379" t="s">
        <v>4214</v>
      </c>
      <c r="D353" s="380" t="str">
        <f t="shared" si="9"/>
        <v>NACE C - 27.52 Manufacture of non-electric domestic appliances</v>
      </c>
      <c r="K353" t="s">
        <v>2954</v>
      </c>
    </row>
    <row r="354" spans="1:11">
      <c r="A354" s="379" t="s">
        <v>1272</v>
      </c>
      <c r="B354" t="s">
        <v>1273</v>
      </c>
      <c r="C354" s="379" t="s">
        <v>4215</v>
      </c>
      <c r="D354" s="379" t="str">
        <f t="shared" si="9"/>
        <v>NACE C - 27.9 Manufacture of other electrical equipment</v>
      </c>
      <c r="K354" t="s">
        <v>3457</v>
      </c>
    </row>
    <row r="355" spans="1:11">
      <c r="A355" s="380" t="s">
        <v>1274</v>
      </c>
      <c r="B355" t="s">
        <v>1275</v>
      </c>
      <c r="C355" s="379" t="s">
        <v>4216</v>
      </c>
      <c r="D355" s="380" t="str">
        <f t="shared" si="9"/>
        <v>NACE C - 27.90 Manufacture of other electrical equipment</v>
      </c>
      <c r="K355" t="s">
        <v>2955</v>
      </c>
    </row>
    <row r="356" spans="1:11">
      <c r="A356" s="376" t="s">
        <v>1276</v>
      </c>
      <c r="B356" t="s">
        <v>1277</v>
      </c>
      <c r="C356" s="376" t="s">
        <v>4217</v>
      </c>
      <c r="D356" s="376" t="str">
        <f t="shared" si="9"/>
        <v>NACE C - 28 Manufacture of machinery and equipment n.e.c.</v>
      </c>
      <c r="K356" t="s">
        <v>2956</v>
      </c>
    </row>
    <row r="357" spans="1:11">
      <c r="A357" s="379" t="s">
        <v>1278</v>
      </c>
      <c r="B357" t="s">
        <v>1279</v>
      </c>
      <c r="C357" s="379" t="s">
        <v>4218</v>
      </c>
      <c r="D357" s="379" t="str">
        <f t="shared" si="9"/>
        <v>NACE C - 28.1 Manufacture of general-purpose machinery</v>
      </c>
      <c r="K357" t="s">
        <v>2762</v>
      </c>
    </row>
    <row r="358" spans="1:11">
      <c r="A358" s="380" t="s">
        <v>1280</v>
      </c>
      <c r="B358" t="s">
        <v>1281</v>
      </c>
      <c r="C358" s="379" t="s">
        <v>4219</v>
      </c>
      <c r="D358" s="380" t="str">
        <f t="shared" si="9"/>
        <v>NACE C - 28.11 Manufacture of engines and turbines, except aircraft, vehicle and cycle engines</v>
      </c>
      <c r="K358" t="s">
        <v>3222</v>
      </c>
    </row>
    <row r="359" spans="1:11">
      <c r="A359" s="380" t="s">
        <v>1282</v>
      </c>
      <c r="B359" t="s">
        <v>1283</v>
      </c>
      <c r="C359" s="377" t="s">
        <v>4207</v>
      </c>
      <c r="D359" s="380" t="str">
        <f t="shared" si="9"/>
        <v>NACE C - 28.12 Manufacture of fluid power equipment</v>
      </c>
      <c r="K359" t="s">
        <v>2957</v>
      </c>
    </row>
    <row r="360" spans="1:11">
      <c r="A360" s="380" t="s">
        <v>1284</v>
      </c>
      <c r="B360" t="s">
        <v>1285</v>
      </c>
      <c r="C360" s="376" t="s">
        <v>4221</v>
      </c>
      <c r="D360" s="380" t="str">
        <f t="shared" si="9"/>
        <v>NACE C - 28.13 Manufacture of other pumps and compressors</v>
      </c>
      <c r="K360" t="s">
        <v>2958</v>
      </c>
    </row>
    <row r="361" spans="1:11">
      <c r="A361" s="380" t="s">
        <v>1286</v>
      </c>
      <c r="B361" t="s">
        <v>1287</v>
      </c>
      <c r="C361" s="379" t="s">
        <v>4222</v>
      </c>
      <c r="D361" s="380" t="str">
        <f t="shared" si="9"/>
        <v>NACE C - 28.14 Manufacture of other taps and valves</v>
      </c>
      <c r="K361" t="s">
        <v>2959</v>
      </c>
    </row>
    <row r="362" spans="1:11">
      <c r="A362" s="380" t="s">
        <v>1288</v>
      </c>
      <c r="B362" t="s">
        <v>1289</v>
      </c>
      <c r="C362" s="379" t="s">
        <v>4223</v>
      </c>
      <c r="D362" s="380" t="str">
        <f t="shared" si="9"/>
        <v>NACE C - 28.15 Manufacture of bearings, gears, gearing and driving elements</v>
      </c>
      <c r="K362" t="s">
        <v>3458</v>
      </c>
    </row>
    <row r="363" spans="1:11">
      <c r="A363" s="379" t="s">
        <v>1290</v>
      </c>
      <c r="B363" t="s">
        <v>1291</v>
      </c>
      <c r="C363" s="379" t="s">
        <v>4224</v>
      </c>
      <c r="D363" s="379" t="str">
        <f t="shared" si="9"/>
        <v>NACE C - 28.2 Manufacture of other general-purpose machinery</v>
      </c>
      <c r="K363" t="s">
        <v>2960</v>
      </c>
    </row>
    <row r="364" spans="1:11">
      <c r="A364" s="380" t="s">
        <v>1292</v>
      </c>
      <c r="B364" t="s">
        <v>1293</v>
      </c>
      <c r="C364" s="376" t="s">
        <v>4225</v>
      </c>
      <c r="D364" s="380" t="str">
        <f t="shared" si="9"/>
        <v>NACE C - 28.21 Manufacture of ovens, furnaces and permanent household heating equipment</v>
      </c>
      <c r="K364" t="s">
        <v>2961</v>
      </c>
    </row>
    <row r="365" spans="1:11">
      <c r="A365" s="380" t="s">
        <v>1294</v>
      </c>
      <c r="B365" t="s">
        <v>1295</v>
      </c>
      <c r="C365" s="379" t="s">
        <v>4226</v>
      </c>
      <c r="D365" s="380" t="str">
        <f t="shared" si="9"/>
        <v>NACE C - 28.22 Manufacture of lifting and handling equipment</v>
      </c>
      <c r="K365" t="s">
        <v>2962</v>
      </c>
    </row>
    <row r="366" spans="1:11">
      <c r="A366" s="380" t="s">
        <v>1296</v>
      </c>
      <c r="B366" t="s">
        <v>1297</v>
      </c>
      <c r="C366" s="379" t="s">
        <v>4227</v>
      </c>
      <c r="D366" s="380" t="str">
        <f t="shared" si="9"/>
        <v>NACE C - 28.23 Manufacture of office machinery and equipment, except computers and peripheral equipment</v>
      </c>
      <c r="K366" t="s">
        <v>2963</v>
      </c>
    </row>
    <row r="367" spans="1:11">
      <c r="A367" s="380" t="s">
        <v>1298</v>
      </c>
      <c r="B367" t="s">
        <v>1299</v>
      </c>
      <c r="C367" s="379" t="s">
        <v>4228</v>
      </c>
      <c r="D367" s="380" t="str">
        <f t="shared" si="9"/>
        <v>NACE C - 28.24 Manufacture of power-driven hand tools</v>
      </c>
      <c r="K367" t="s">
        <v>3459</v>
      </c>
    </row>
    <row r="368" spans="1:11">
      <c r="A368" s="380" t="s">
        <v>1300</v>
      </c>
      <c r="B368" t="s">
        <v>1301</v>
      </c>
      <c r="C368" s="379" t="s">
        <v>4229</v>
      </c>
      <c r="D368" s="380" t="str">
        <f t="shared" si="9"/>
        <v>NACE C - 28.25 Manufacture of non-domestic air conditioning equipment</v>
      </c>
      <c r="K368" t="s">
        <v>2964</v>
      </c>
    </row>
    <row r="369" spans="1:11">
      <c r="A369" s="380" t="s">
        <v>1302</v>
      </c>
      <c r="B369" t="s">
        <v>1303</v>
      </c>
      <c r="C369" s="376" t="s">
        <v>4230</v>
      </c>
      <c r="D369" s="380" t="str">
        <f t="shared" si="9"/>
        <v>NACE C - 28.29 Manufacture of other general-purpose machinery n.e.c.</v>
      </c>
      <c r="K369" t="s">
        <v>2965</v>
      </c>
    </row>
    <row r="370" spans="1:11">
      <c r="A370" s="379" t="s">
        <v>1304</v>
      </c>
      <c r="B370" t="s">
        <v>1305</v>
      </c>
      <c r="C370" s="379" t="s">
        <v>4231</v>
      </c>
      <c r="D370" s="379" t="str">
        <f t="shared" si="9"/>
        <v>NACE C - 28.3 Manufacture of agricultural and forestry machinery</v>
      </c>
      <c r="K370" t="s">
        <v>3460</v>
      </c>
    </row>
    <row r="371" spans="1:11">
      <c r="A371" s="380" t="s">
        <v>1306</v>
      </c>
      <c r="B371" t="s">
        <v>1307</v>
      </c>
      <c r="C371" s="376" t="s">
        <v>4232</v>
      </c>
      <c r="D371" s="380" t="str">
        <f t="shared" si="9"/>
        <v>NACE C - 28.30 Manufacture of agricultural and forestry machinery</v>
      </c>
      <c r="K371" t="s">
        <v>2966</v>
      </c>
    </row>
    <row r="372" spans="1:11">
      <c r="A372" s="379" t="s">
        <v>1308</v>
      </c>
      <c r="B372" t="s">
        <v>1309</v>
      </c>
      <c r="C372" s="379" t="s">
        <v>4233</v>
      </c>
      <c r="D372" s="379" t="str">
        <f t="shared" si="9"/>
        <v>NACE C - 28.4 Manufacture of metal forming machinery and machine tools</v>
      </c>
      <c r="K372" t="s">
        <v>3223</v>
      </c>
    </row>
    <row r="373" spans="1:11">
      <c r="A373" s="380" t="s">
        <v>1310</v>
      </c>
      <c r="B373" t="s">
        <v>1311</v>
      </c>
      <c r="C373" s="379" t="s">
        <v>4234</v>
      </c>
      <c r="D373" s="380" t="str">
        <f t="shared" si="9"/>
        <v>NACE C - 28.41 Manufacture of metal forming machinery and machine tools for metal work</v>
      </c>
      <c r="K373" t="s">
        <v>2967</v>
      </c>
    </row>
    <row r="374" spans="1:11">
      <c r="A374" s="380" t="s">
        <v>1312</v>
      </c>
      <c r="B374" t="s">
        <v>1313</v>
      </c>
      <c r="C374" s="377" t="s">
        <v>4220</v>
      </c>
      <c r="D374" s="380" t="str">
        <f t="shared" si="9"/>
        <v>NACE C - 28.42 Manufacture of other machine tools</v>
      </c>
      <c r="K374" t="s">
        <v>2968</v>
      </c>
    </row>
    <row r="375" spans="1:11">
      <c r="A375" s="379" t="s">
        <v>1314</v>
      </c>
      <c r="B375" t="s">
        <v>1315</v>
      </c>
      <c r="C375" s="376" t="s">
        <v>4236</v>
      </c>
      <c r="D375" s="379" t="str">
        <f t="shared" si="9"/>
        <v>NACE C - 28.9 Manufacture of other special-purpose machinery</v>
      </c>
      <c r="K375" t="s">
        <v>2969</v>
      </c>
    </row>
    <row r="376" spans="1:11">
      <c r="A376" s="380" t="s">
        <v>1316</v>
      </c>
      <c r="B376" t="s">
        <v>1317</v>
      </c>
      <c r="C376" s="379" t="s">
        <v>4237</v>
      </c>
      <c r="D376" s="380" t="str">
        <f t="shared" si="9"/>
        <v>NACE C - 28.91 Manufacture of machinery for metallurgy</v>
      </c>
      <c r="K376" t="s">
        <v>2970</v>
      </c>
    </row>
    <row r="377" spans="1:11">
      <c r="A377" s="380" t="s">
        <v>1318</v>
      </c>
      <c r="B377" t="s">
        <v>1319</v>
      </c>
      <c r="C377" s="379" t="s">
        <v>4238</v>
      </c>
      <c r="D377" s="380" t="str">
        <f t="shared" si="9"/>
        <v>NACE C - 28.92 Manufacture of machinery for mining, quarrying and construction</v>
      </c>
      <c r="K377" t="s">
        <v>3461</v>
      </c>
    </row>
    <row r="378" spans="1:11">
      <c r="A378" s="380" t="s">
        <v>1320</v>
      </c>
      <c r="B378" t="s">
        <v>1321</v>
      </c>
      <c r="C378" s="379" t="s">
        <v>4239</v>
      </c>
      <c r="D378" s="380" t="str">
        <f t="shared" si="9"/>
        <v>NACE C - 28.93 Manufacture of machinery for food, beverage and tobacco processing</v>
      </c>
      <c r="K378" t="s">
        <v>2971</v>
      </c>
    </row>
    <row r="379" spans="1:11">
      <c r="A379" s="380" t="s">
        <v>1322</v>
      </c>
      <c r="B379" t="s">
        <v>1323</v>
      </c>
      <c r="C379" s="376" t="s">
        <v>4240</v>
      </c>
      <c r="D379" s="380" t="str">
        <f t="shared" si="9"/>
        <v>NACE C - 28.94 Manufacture of machinery for textile, apparel and leather production</v>
      </c>
      <c r="K379" t="s">
        <v>2972</v>
      </c>
    </row>
    <row r="380" spans="1:11">
      <c r="A380" s="380" t="s">
        <v>1324</v>
      </c>
      <c r="B380" t="s">
        <v>1325</v>
      </c>
      <c r="C380" s="379" t="s">
        <v>4241</v>
      </c>
      <c r="D380" s="380" t="str">
        <f t="shared" si="9"/>
        <v>NACE C - 28.95 Manufacture of machinery for paper and paperboard production</v>
      </c>
      <c r="K380" t="s">
        <v>2973</v>
      </c>
    </row>
    <row r="381" spans="1:11">
      <c r="A381" s="380" t="s">
        <v>1326</v>
      </c>
      <c r="B381" t="s">
        <v>1327</v>
      </c>
      <c r="C381" s="379" t="s">
        <v>4242</v>
      </c>
      <c r="D381" s="380" t="str">
        <f t="shared" si="9"/>
        <v>NACE C - 28.96 Manufacture of plastics and rubber machinery</v>
      </c>
      <c r="K381" t="s">
        <v>3462</v>
      </c>
    </row>
    <row r="382" spans="1:11">
      <c r="A382" s="380" t="s">
        <v>1328</v>
      </c>
      <c r="B382" t="s">
        <v>1329</v>
      </c>
      <c r="C382" s="379" t="s">
        <v>4243</v>
      </c>
      <c r="D382" s="380" t="str">
        <f t="shared" si="9"/>
        <v>NACE C - 28.97 Manufacture of additive manufacturing machinery</v>
      </c>
      <c r="K382" t="s">
        <v>2974</v>
      </c>
    </row>
    <row r="383" spans="1:11">
      <c r="A383" s="380" t="s">
        <v>1330</v>
      </c>
      <c r="B383" t="s">
        <v>1331</v>
      </c>
      <c r="C383" s="379" t="s">
        <v>4244</v>
      </c>
      <c r="D383" s="380" t="str">
        <f t="shared" si="9"/>
        <v>NACE C - 28.99 Manufacture of other special-purpose machinery n.e.c.</v>
      </c>
      <c r="K383" t="s">
        <v>3463</v>
      </c>
    </row>
    <row r="384" spans="1:11">
      <c r="A384" s="376" t="s">
        <v>1332</v>
      </c>
      <c r="B384" t="s">
        <v>1333</v>
      </c>
      <c r="C384" s="376" t="s">
        <v>4245</v>
      </c>
      <c r="D384" s="376" t="str">
        <f t="shared" si="9"/>
        <v>NACE C - 29 Manufacture of motor vehicles, trailers and semi-trailers</v>
      </c>
      <c r="K384" t="s">
        <v>2975</v>
      </c>
    </row>
    <row r="385" spans="1:11">
      <c r="A385" s="379" t="s">
        <v>1334</v>
      </c>
      <c r="B385" t="s">
        <v>1335</v>
      </c>
      <c r="C385" s="379" t="s">
        <v>4246</v>
      </c>
      <c r="D385" s="379" t="str">
        <f t="shared" si="9"/>
        <v>NACE C - 29.1 Manufacture of motor vehicles</v>
      </c>
      <c r="K385" t="s">
        <v>2976</v>
      </c>
    </row>
    <row r="386" spans="1:11">
      <c r="A386" s="380" t="s">
        <v>1336</v>
      </c>
      <c r="B386" t="s">
        <v>1337</v>
      </c>
      <c r="C386" s="379" t="s">
        <v>4247</v>
      </c>
      <c r="D386" s="380" t="str">
        <f t="shared" ref="D386:D449" si="10">_xlfn.CONCAT("NACE ", A386)</f>
        <v>NACE C - 29.10 Manufacture of motor vehicles</v>
      </c>
      <c r="K386" t="s">
        <v>3224</v>
      </c>
    </row>
    <row r="387" spans="1:11">
      <c r="A387" s="379" t="s">
        <v>1338</v>
      </c>
      <c r="B387" t="s">
        <v>1339</v>
      </c>
      <c r="C387" s="379" t="s">
        <v>4248</v>
      </c>
      <c r="D387" s="379" t="str">
        <f t="shared" si="10"/>
        <v>NACE C - 29.2 Manufacture of bodies and coachwork for motor vehicles; manufacture of trailers and semi-trailers</v>
      </c>
      <c r="K387" t="s">
        <v>3464</v>
      </c>
    </row>
    <row r="388" spans="1:11">
      <c r="A388" s="380" t="s">
        <v>1340</v>
      </c>
      <c r="B388" t="s">
        <v>1341</v>
      </c>
      <c r="C388" s="379" t="s">
        <v>4249</v>
      </c>
      <c r="D388" s="380" t="str">
        <f t="shared" si="10"/>
        <v>NACE C - 29.20 Manufacture of bodies and coachwork for motor vehicles; manufacture of trailers and semi-trailers</v>
      </c>
      <c r="K388" t="s">
        <v>2977</v>
      </c>
    </row>
    <row r="389" spans="1:11">
      <c r="A389" s="379" t="s">
        <v>1342</v>
      </c>
      <c r="B389" t="s">
        <v>1343</v>
      </c>
      <c r="C389" s="379" t="s">
        <v>4250</v>
      </c>
      <c r="D389" s="379" t="str">
        <f t="shared" si="10"/>
        <v>NACE C - 29.3 Manufacture of motor vehicle parts and accessories</v>
      </c>
      <c r="K389" t="s">
        <v>3465</v>
      </c>
    </row>
    <row r="390" spans="1:11">
      <c r="A390" s="380" t="s">
        <v>1344</v>
      </c>
      <c r="B390" t="s">
        <v>1345</v>
      </c>
      <c r="C390" s="377" t="s">
        <v>4235</v>
      </c>
      <c r="D390" s="380" t="str">
        <f t="shared" si="10"/>
        <v>NACE C - 29.31 Manufacture of electrical and electronic equipment for motor vehicles</v>
      </c>
      <c r="K390" t="s">
        <v>2978</v>
      </c>
    </row>
    <row r="391" spans="1:11">
      <c r="A391" s="380" t="s">
        <v>1346</v>
      </c>
      <c r="B391" t="s">
        <v>1347</v>
      </c>
      <c r="C391" s="376" t="s">
        <v>4252</v>
      </c>
      <c r="D391" s="380" t="str">
        <f t="shared" si="10"/>
        <v>NACE C - 29.32 Manufacture of other parts and accessories for motor vehicles</v>
      </c>
      <c r="K391" t="s">
        <v>2979</v>
      </c>
    </row>
    <row r="392" spans="1:11">
      <c r="A392" s="376" t="s">
        <v>1348</v>
      </c>
      <c r="B392" t="s">
        <v>1349</v>
      </c>
      <c r="C392" s="379" t="s">
        <v>4253</v>
      </c>
      <c r="D392" s="376" t="str">
        <f t="shared" si="10"/>
        <v>NACE C - 30 Manufacture of other transport equipment</v>
      </c>
      <c r="K392" t="s">
        <v>3466</v>
      </c>
    </row>
    <row r="393" spans="1:11">
      <c r="A393" s="379" t="s">
        <v>1350</v>
      </c>
      <c r="B393" t="s">
        <v>1351</v>
      </c>
      <c r="C393" s="376" t="s">
        <v>4254</v>
      </c>
      <c r="D393" s="379" t="str">
        <f t="shared" si="10"/>
        <v>NACE C - 30.1 Building of ships and boats</v>
      </c>
      <c r="K393" t="s">
        <v>3467</v>
      </c>
    </row>
    <row r="394" spans="1:11">
      <c r="A394" s="380" t="s">
        <v>1352</v>
      </c>
      <c r="B394" t="s">
        <v>1353</v>
      </c>
      <c r="C394" s="379" t="s">
        <v>4255</v>
      </c>
      <c r="D394" s="380" t="str">
        <f t="shared" si="10"/>
        <v>NACE C - 30.11 Building of civilian ships and floating structures</v>
      </c>
      <c r="K394" t="s">
        <v>3468</v>
      </c>
    </row>
    <row r="395" spans="1:11">
      <c r="A395" s="380" t="s">
        <v>1354</v>
      </c>
      <c r="B395" t="s">
        <v>1355</v>
      </c>
      <c r="C395" s="379" t="s">
        <v>4256</v>
      </c>
      <c r="D395" s="380" t="str">
        <f t="shared" si="10"/>
        <v>NACE C - 30.12 Building of pleasure and sporting boats</v>
      </c>
      <c r="K395" t="s">
        <v>3469</v>
      </c>
    </row>
    <row r="396" spans="1:11">
      <c r="A396" s="380" t="s">
        <v>1356</v>
      </c>
      <c r="B396" t="s">
        <v>1357</v>
      </c>
      <c r="C396" s="377" t="s">
        <v>4251</v>
      </c>
      <c r="D396" s="380" t="str">
        <f t="shared" si="10"/>
        <v>NACE C - 30.13 Building of military ships and vessels</v>
      </c>
      <c r="K396" t="s">
        <v>2980</v>
      </c>
    </row>
    <row r="397" spans="1:11">
      <c r="A397" s="379" t="s">
        <v>1358</v>
      </c>
      <c r="B397" t="s">
        <v>1359</v>
      </c>
      <c r="C397" s="376" t="s">
        <v>4258</v>
      </c>
      <c r="D397" s="379" t="str">
        <f t="shared" si="10"/>
        <v>NACE C - 30.2 Manufacture of railway locomotives and rolling stock</v>
      </c>
      <c r="K397" t="s">
        <v>2981</v>
      </c>
    </row>
    <row r="398" spans="1:11">
      <c r="A398" s="380" t="s">
        <v>1360</v>
      </c>
      <c r="B398" t="s">
        <v>1361</v>
      </c>
      <c r="C398" s="379" t="s">
        <v>4259</v>
      </c>
      <c r="D398" s="380" t="str">
        <f t="shared" si="10"/>
        <v>NACE C - 30.20 Manufacture of railway locomotives and rolling stock</v>
      </c>
      <c r="K398" t="s">
        <v>2982</v>
      </c>
    </row>
    <row r="399" spans="1:11">
      <c r="A399" s="379" t="s">
        <v>1362</v>
      </c>
      <c r="B399" t="s">
        <v>1363</v>
      </c>
      <c r="C399" s="377" t="s">
        <v>4257</v>
      </c>
      <c r="D399" s="379" t="str">
        <f t="shared" si="10"/>
        <v>NACE C - 30.3 Manufacture of air and spacecraft and related machinery</v>
      </c>
      <c r="K399" t="s">
        <v>2983</v>
      </c>
    </row>
    <row r="400" spans="1:11">
      <c r="A400" s="380" t="s">
        <v>1364</v>
      </c>
      <c r="B400" t="s">
        <v>1365</v>
      </c>
      <c r="D400" s="380" t="str">
        <f t="shared" si="10"/>
        <v>NACE C - 30.31 Manufacture of civilian air and spacecraft and related machinery</v>
      </c>
      <c r="K400" t="s">
        <v>3470</v>
      </c>
    </row>
    <row r="401" spans="1:11">
      <c r="A401" s="380" t="s">
        <v>1366</v>
      </c>
      <c r="B401" t="s">
        <v>1367</v>
      </c>
      <c r="C401" s="380"/>
      <c r="D401" s="380" t="str">
        <f t="shared" si="10"/>
        <v>NACE C - 30.32 Manufacture of military air and spacecraft and related machinery</v>
      </c>
      <c r="K401" t="s">
        <v>2984</v>
      </c>
    </row>
    <row r="402" spans="1:11">
      <c r="A402" s="379" t="s">
        <v>1368</v>
      </c>
      <c r="B402" t="s">
        <v>1369</v>
      </c>
      <c r="C402" s="380"/>
      <c r="D402" s="379" t="str">
        <f t="shared" si="10"/>
        <v>NACE C - 30.4 Manufacture of military fighting vehicles</v>
      </c>
      <c r="K402" t="s">
        <v>2985</v>
      </c>
    </row>
    <row r="403" spans="1:11">
      <c r="A403" s="380" t="s">
        <v>1370</v>
      </c>
      <c r="B403" t="s">
        <v>1371</v>
      </c>
      <c r="C403" s="380"/>
      <c r="D403" s="380" t="str">
        <f t="shared" si="10"/>
        <v>NACE C - 30.40 Manufacture of military fighting vehicles</v>
      </c>
      <c r="K403" t="s">
        <v>3225</v>
      </c>
    </row>
    <row r="404" spans="1:11">
      <c r="A404" s="379" t="s">
        <v>1372</v>
      </c>
      <c r="B404" t="s">
        <v>1373</v>
      </c>
      <c r="C404" s="380"/>
      <c r="D404" s="379" t="str">
        <f t="shared" si="10"/>
        <v>NACE C - 30.9 Manufacture of transport equipment n.e.c.</v>
      </c>
      <c r="K404" t="s">
        <v>3471</v>
      </c>
    </row>
    <row r="405" spans="1:11">
      <c r="A405" s="380" t="s">
        <v>1374</v>
      </c>
      <c r="B405" t="s">
        <v>1375</v>
      </c>
      <c r="C405" s="380"/>
      <c r="D405" s="380" t="str">
        <f t="shared" si="10"/>
        <v>NACE C - 30.91 Manufacture of motorcycles</v>
      </c>
      <c r="K405" t="s">
        <v>3472</v>
      </c>
    </row>
    <row r="406" spans="1:11">
      <c r="A406" s="380" t="s">
        <v>1376</v>
      </c>
      <c r="B406" t="s">
        <v>1377</v>
      </c>
      <c r="C406" s="380"/>
      <c r="D406" s="380" t="str">
        <f t="shared" si="10"/>
        <v>NACE C - 30.92 Manufacture of bicycles and invalid carriages</v>
      </c>
      <c r="K406" t="s">
        <v>3473</v>
      </c>
    </row>
    <row r="407" spans="1:11">
      <c r="A407" s="380" t="s">
        <v>1378</v>
      </c>
      <c r="B407" t="s">
        <v>1379</v>
      </c>
      <c r="C407" s="380"/>
      <c r="D407" s="380" t="str">
        <f t="shared" si="10"/>
        <v>NACE C - 30.99 Manufacture of other transport equipment n.e.c.</v>
      </c>
      <c r="K407" t="s">
        <v>3474</v>
      </c>
    </row>
    <row r="408" spans="1:11">
      <c r="A408" s="376" t="s">
        <v>1380</v>
      </c>
      <c r="B408" t="s">
        <v>1381</v>
      </c>
      <c r="C408" s="380"/>
      <c r="D408" s="376" t="str">
        <f t="shared" si="10"/>
        <v>NACE C - 31 Manufacture of furniture</v>
      </c>
      <c r="K408" t="s">
        <v>3475</v>
      </c>
    </row>
    <row r="409" spans="1:11">
      <c r="A409" s="379" t="s">
        <v>1382</v>
      </c>
      <c r="B409" t="s">
        <v>1383</v>
      </c>
      <c r="C409" s="380"/>
      <c r="D409" s="379" t="str">
        <f t="shared" si="10"/>
        <v>NACE C - 31.0 Manufacture of furniture</v>
      </c>
      <c r="K409" t="s">
        <v>3476</v>
      </c>
    </row>
    <row r="410" spans="1:11">
      <c r="A410" s="380" t="s">
        <v>1384</v>
      </c>
      <c r="B410" t="s">
        <v>1385</v>
      </c>
      <c r="C410" s="380"/>
      <c r="D410" s="380" t="str">
        <f t="shared" si="10"/>
        <v>NACE C - 31.00 Manufacture of furniture</v>
      </c>
      <c r="K410" t="s">
        <v>3477</v>
      </c>
    </row>
    <row r="411" spans="1:11">
      <c r="A411" s="376" t="s">
        <v>1386</v>
      </c>
      <c r="B411" t="s">
        <v>1387</v>
      </c>
      <c r="C411" s="380"/>
      <c r="D411" s="376" t="str">
        <f t="shared" si="10"/>
        <v>NACE C - 32 Other manufacturing</v>
      </c>
      <c r="K411" t="s">
        <v>2986</v>
      </c>
    </row>
    <row r="412" spans="1:11">
      <c r="A412" s="379" t="s">
        <v>1388</v>
      </c>
      <c r="B412" t="s">
        <v>1389</v>
      </c>
      <c r="C412" s="380"/>
      <c r="D412" s="379" t="str">
        <f t="shared" si="10"/>
        <v>NACE C - 32.1 Manufacture of jewellery, bijouterie and related articles</v>
      </c>
      <c r="K412" t="s">
        <v>2987</v>
      </c>
    </row>
    <row r="413" spans="1:11">
      <c r="A413" s="380" t="s">
        <v>1390</v>
      </c>
      <c r="B413" t="s">
        <v>1391</v>
      </c>
      <c r="C413" s="380"/>
      <c r="D413" s="380" t="str">
        <f t="shared" si="10"/>
        <v>NACE C - 32.11 Striking of coins</v>
      </c>
      <c r="K413" t="s">
        <v>3226</v>
      </c>
    </row>
    <row r="414" spans="1:11">
      <c r="A414" s="380" t="s">
        <v>1392</v>
      </c>
      <c r="B414" t="s">
        <v>1393</v>
      </c>
      <c r="C414" s="380"/>
      <c r="D414" s="380" t="str">
        <f t="shared" si="10"/>
        <v>NACE C - 32.12 Manufacture of jewellery and related articles</v>
      </c>
      <c r="K414" t="s">
        <v>3478</v>
      </c>
    </row>
    <row r="415" spans="1:11">
      <c r="A415" s="380" t="s">
        <v>1394</v>
      </c>
      <c r="B415" t="s">
        <v>1395</v>
      </c>
      <c r="C415" s="380"/>
      <c r="D415" s="380" t="str">
        <f t="shared" si="10"/>
        <v>NACE C - 32.13 Manufacture of imitation jewellery and related articles</v>
      </c>
      <c r="K415" t="s">
        <v>2988</v>
      </c>
    </row>
    <row r="416" spans="1:11">
      <c r="A416" s="379" t="s">
        <v>1396</v>
      </c>
      <c r="B416" t="s">
        <v>1397</v>
      </c>
      <c r="C416" s="380"/>
      <c r="D416" s="379" t="str">
        <f t="shared" si="10"/>
        <v>NACE C - 32.2 Manufacture of musical instruments</v>
      </c>
      <c r="K416" t="s">
        <v>3479</v>
      </c>
    </row>
    <row r="417" spans="1:11">
      <c r="A417" s="380" t="s">
        <v>1398</v>
      </c>
      <c r="B417" t="s">
        <v>1399</v>
      </c>
      <c r="C417" s="380"/>
      <c r="D417" s="380" t="str">
        <f t="shared" si="10"/>
        <v>NACE C - 32.20 Manufacture of musical instruments</v>
      </c>
      <c r="K417" t="s">
        <v>2989</v>
      </c>
    </row>
    <row r="418" spans="1:11">
      <c r="A418" s="379" t="s">
        <v>1400</v>
      </c>
      <c r="B418" t="s">
        <v>1401</v>
      </c>
      <c r="C418" s="380"/>
      <c r="D418" s="379" t="str">
        <f t="shared" si="10"/>
        <v>NACE C - 32.3 Manufacture of sports goods</v>
      </c>
      <c r="K418" t="s">
        <v>3480</v>
      </c>
    </row>
    <row r="419" spans="1:11">
      <c r="A419" s="380" t="s">
        <v>1402</v>
      </c>
      <c r="B419" t="s">
        <v>1403</v>
      </c>
      <c r="C419" s="380"/>
      <c r="D419" s="380" t="str">
        <f t="shared" si="10"/>
        <v>NACE C - 32.30 Manufacture of sports goods</v>
      </c>
      <c r="K419" t="s">
        <v>3481</v>
      </c>
    </row>
    <row r="420" spans="1:11">
      <c r="A420" s="379" t="s">
        <v>1404</v>
      </c>
      <c r="B420" t="s">
        <v>1405</v>
      </c>
      <c r="C420" s="380"/>
      <c r="D420" s="379" t="str">
        <f t="shared" si="10"/>
        <v>NACE C - 32.4 Manufacture of games and toys</v>
      </c>
      <c r="K420" t="s">
        <v>2990</v>
      </c>
    </row>
    <row r="421" spans="1:11">
      <c r="A421" s="380" t="s">
        <v>1406</v>
      </c>
      <c r="B421" t="s">
        <v>1407</v>
      </c>
      <c r="C421" s="380"/>
      <c r="D421" s="380" t="str">
        <f t="shared" si="10"/>
        <v>NACE C - 32.40 Manufacture of games and toys</v>
      </c>
      <c r="K421" t="s">
        <v>2991</v>
      </c>
    </row>
    <row r="422" spans="1:11">
      <c r="A422" s="379" t="s">
        <v>1408</v>
      </c>
      <c r="B422" t="s">
        <v>1409</v>
      </c>
      <c r="C422" s="380"/>
      <c r="D422" s="379" t="str">
        <f t="shared" si="10"/>
        <v>NACE C - 32.5 Manufacture of medical and dental instruments and supplies</v>
      </c>
      <c r="K422" t="s">
        <v>3227</v>
      </c>
    </row>
    <row r="423" spans="1:11">
      <c r="A423" s="380" t="s">
        <v>1410</v>
      </c>
      <c r="B423" t="s">
        <v>1411</v>
      </c>
      <c r="C423" s="380"/>
      <c r="D423" s="380" t="str">
        <f t="shared" si="10"/>
        <v>NACE C - 32.50 Manufacture of medical and dental instruments and supplies</v>
      </c>
      <c r="K423" t="s">
        <v>2992</v>
      </c>
    </row>
    <row r="424" spans="1:11">
      <c r="A424" s="379" t="s">
        <v>1412</v>
      </c>
      <c r="B424" t="s">
        <v>1413</v>
      </c>
      <c r="C424" s="380"/>
      <c r="D424" s="379" t="str">
        <f t="shared" si="10"/>
        <v>NACE C - 32.9 Manufacturing n.e.c.</v>
      </c>
      <c r="K424" t="s">
        <v>2993</v>
      </c>
    </row>
    <row r="425" spans="1:11">
      <c r="A425" s="380" t="s">
        <v>1414</v>
      </c>
      <c r="B425" t="s">
        <v>1415</v>
      </c>
      <c r="C425" s="380"/>
      <c r="D425" s="380" t="str">
        <f t="shared" si="10"/>
        <v>NACE C - 32.91 Manufacture of brooms and brushes</v>
      </c>
      <c r="K425" t="s">
        <v>3482</v>
      </c>
    </row>
    <row r="426" spans="1:11">
      <c r="A426" s="380" t="s">
        <v>1416</v>
      </c>
      <c r="B426" t="s">
        <v>1417</v>
      </c>
      <c r="C426" s="380"/>
      <c r="D426" s="380" t="str">
        <f t="shared" si="10"/>
        <v>NACE C - 32.99 Other manufacturing n.e.c.</v>
      </c>
      <c r="K426" t="s">
        <v>2994</v>
      </c>
    </row>
    <row r="427" spans="1:11">
      <c r="A427" s="376" t="s">
        <v>1418</v>
      </c>
      <c r="B427" t="s">
        <v>1419</v>
      </c>
      <c r="C427" s="380"/>
      <c r="D427" s="376" t="str">
        <f t="shared" si="10"/>
        <v>NACE C - 33 Repair, maintenance and installation of machinery and equipment</v>
      </c>
      <c r="K427" t="s">
        <v>3483</v>
      </c>
    </row>
    <row r="428" spans="1:11">
      <c r="A428" s="379" t="s">
        <v>1420</v>
      </c>
      <c r="B428" t="s">
        <v>1421</v>
      </c>
      <c r="C428" s="380"/>
      <c r="D428" s="379" t="str">
        <f t="shared" si="10"/>
        <v>NACE C - 33.1 Repair and maintenance of fabricated metal products, machinery and equipment</v>
      </c>
      <c r="K428" t="s">
        <v>3484</v>
      </c>
    </row>
    <row r="429" spans="1:11">
      <c r="A429" s="380" t="s">
        <v>1422</v>
      </c>
      <c r="B429" t="s">
        <v>1423</v>
      </c>
      <c r="C429" s="380"/>
      <c r="D429" s="380" t="str">
        <f t="shared" si="10"/>
        <v>NACE C - 33.11 Repair and maintenance of fabricated metal products</v>
      </c>
      <c r="K429" t="s">
        <v>3485</v>
      </c>
    </row>
    <row r="430" spans="1:11">
      <c r="A430" s="380" t="s">
        <v>1424</v>
      </c>
      <c r="B430" t="s">
        <v>1425</v>
      </c>
      <c r="C430" s="380"/>
      <c r="D430" s="380" t="str">
        <f t="shared" si="10"/>
        <v>NACE C - 33.12 Repair and maintenance of machinery</v>
      </c>
      <c r="K430" t="s">
        <v>2995</v>
      </c>
    </row>
    <row r="431" spans="1:11">
      <c r="A431" s="380" t="s">
        <v>1426</v>
      </c>
      <c r="B431" t="s">
        <v>1427</v>
      </c>
      <c r="C431" s="380"/>
      <c r="D431" s="380" t="str">
        <f t="shared" si="10"/>
        <v>NACE C - 33.13 Repair and maintenance of electronic and optical equipment</v>
      </c>
      <c r="K431" t="s">
        <v>2996</v>
      </c>
    </row>
    <row r="432" spans="1:11">
      <c r="A432" s="380" t="s">
        <v>1428</v>
      </c>
      <c r="B432" t="s">
        <v>1429</v>
      </c>
      <c r="C432" s="380"/>
      <c r="D432" s="380" t="str">
        <f t="shared" si="10"/>
        <v>NACE C - 33.14 Repair and maintenance of electrical equipment</v>
      </c>
      <c r="K432" t="s">
        <v>3228</v>
      </c>
    </row>
    <row r="433" spans="1:11">
      <c r="A433" s="380" t="s">
        <v>1430</v>
      </c>
      <c r="B433" t="s">
        <v>1431</v>
      </c>
      <c r="C433" s="380"/>
      <c r="D433" s="380" t="str">
        <f t="shared" si="10"/>
        <v>NACE C - 33.15 Repair and maintenance of civilian ships and boats</v>
      </c>
      <c r="K433" t="s">
        <v>2997</v>
      </c>
    </row>
    <row r="434" spans="1:11">
      <c r="A434" s="380" t="s">
        <v>1432</v>
      </c>
      <c r="B434" t="s">
        <v>1433</v>
      </c>
      <c r="C434" s="380"/>
      <c r="D434" s="380" t="str">
        <f t="shared" si="10"/>
        <v>NACE C - 33.16 Repair and maintenance of civilian air and spacecraft</v>
      </c>
      <c r="K434" t="s">
        <v>2998</v>
      </c>
    </row>
    <row r="435" spans="1:11">
      <c r="A435" s="380" t="s">
        <v>1434</v>
      </c>
      <c r="B435" t="s">
        <v>1435</v>
      </c>
      <c r="C435" s="380"/>
      <c r="D435" s="380" t="str">
        <f t="shared" si="10"/>
        <v>NACE C - 33.17 Repair and maintenance of other civilian transport equipment</v>
      </c>
      <c r="K435" t="s">
        <v>2999</v>
      </c>
    </row>
    <row r="436" spans="1:11">
      <c r="A436" s="380" t="s">
        <v>1436</v>
      </c>
      <c r="B436" t="s">
        <v>1437</v>
      </c>
      <c r="C436" s="380"/>
      <c r="D436" s="380" t="str">
        <f t="shared" si="10"/>
        <v>NACE C - 33.18 Repair and maintenance of military fighting vehicles, ships, boats, air and spacecraft</v>
      </c>
      <c r="K436" t="s">
        <v>3000</v>
      </c>
    </row>
    <row r="437" spans="1:11">
      <c r="A437" s="380" t="s">
        <v>1438</v>
      </c>
      <c r="B437" t="s">
        <v>1439</v>
      </c>
      <c r="C437" s="380"/>
      <c r="D437" s="380" t="str">
        <f t="shared" si="10"/>
        <v>NACE C - 33.19 Repair and maintenance of other equipment</v>
      </c>
      <c r="K437" t="s">
        <v>3001</v>
      </c>
    </row>
    <row r="438" spans="1:11">
      <c r="A438" s="379" t="s">
        <v>1440</v>
      </c>
      <c r="B438" t="s">
        <v>1441</v>
      </c>
      <c r="C438" s="380"/>
      <c r="D438" s="379" t="str">
        <f t="shared" si="10"/>
        <v>NACE C - 33.2 Installation of industrial machinery and equipment</v>
      </c>
      <c r="K438" t="s">
        <v>3002</v>
      </c>
    </row>
    <row r="439" spans="1:11">
      <c r="A439" s="380" t="s">
        <v>1442</v>
      </c>
      <c r="B439" t="s">
        <v>1443</v>
      </c>
      <c r="C439" s="380"/>
      <c r="D439" s="380" t="str">
        <f t="shared" si="10"/>
        <v>NACE C - 33.20 Installation of industrial machinery and equipment</v>
      </c>
      <c r="K439" t="s">
        <v>3003</v>
      </c>
    </row>
    <row r="440" spans="1:11">
      <c r="A440" s="377" t="s">
        <v>1444</v>
      </c>
      <c r="B440" t="s">
        <v>1445</v>
      </c>
      <c r="C440" s="380"/>
      <c r="D440" s="377" t="str">
        <f t="shared" si="10"/>
        <v>NACE D - ELECTRICITY, GAS, STEAM AND AIR CONDITIONING SUPPLY</v>
      </c>
      <c r="K440" t="s">
        <v>3229</v>
      </c>
    </row>
    <row r="441" spans="1:11">
      <c r="A441" s="376" t="s">
        <v>1446</v>
      </c>
      <c r="B441" t="s">
        <v>1447</v>
      </c>
      <c r="C441" s="380"/>
      <c r="D441" s="376" t="str">
        <f t="shared" si="10"/>
        <v>NACE D - 35 Electricity, gas, steam and air conditioning supply</v>
      </c>
      <c r="K441" t="s">
        <v>3004</v>
      </c>
    </row>
    <row r="442" spans="1:11">
      <c r="A442" s="379" t="s">
        <v>1448</v>
      </c>
      <c r="B442" t="s">
        <v>1449</v>
      </c>
      <c r="C442" s="380"/>
      <c r="D442" s="379" t="str">
        <f t="shared" si="10"/>
        <v>NACE D - 35.1 Electric power generation, transmission and distribution</v>
      </c>
      <c r="K442" t="s">
        <v>3005</v>
      </c>
    </row>
    <row r="443" spans="1:11">
      <c r="A443" s="380" t="s">
        <v>1450</v>
      </c>
      <c r="B443" t="s">
        <v>1451</v>
      </c>
      <c r="C443" s="380"/>
      <c r="D443" s="380" t="str">
        <f t="shared" si="10"/>
        <v>NACE D - 35.11 Production of electricity from non-renewable sources</v>
      </c>
      <c r="K443" t="s">
        <v>3006</v>
      </c>
    </row>
    <row r="444" spans="1:11">
      <c r="A444" s="380" t="s">
        <v>1452</v>
      </c>
      <c r="B444" t="s">
        <v>1453</v>
      </c>
      <c r="C444" s="380"/>
      <c r="D444" s="380" t="str">
        <f t="shared" si="10"/>
        <v>NACE D - 35.12 Production of electricity from renewable sources</v>
      </c>
      <c r="K444" t="s">
        <v>3007</v>
      </c>
    </row>
    <row r="445" spans="1:11">
      <c r="A445" s="380" t="s">
        <v>1454</v>
      </c>
      <c r="B445" t="s">
        <v>1455</v>
      </c>
      <c r="C445" s="380"/>
      <c r="D445" s="380" t="str">
        <f t="shared" si="10"/>
        <v>NACE D - 35.13 Transmission of electricity</v>
      </c>
      <c r="K445" t="s">
        <v>3008</v>
      </c>
    </row>
    <row r="446" spans="1:11">
      <c r="A446" s="380" t="s">
        <v>1456</v>
      </c>
      <c r="B446" t="s">
        <v>1457</v>
      </c>
      <c r="C446" s="380"/>
      <c r="D446" s="380" t="str">
        <f t="shared" si="10"/>
        <v>NACE D - 35.14 Distribution of electricity</v>
      </c>
      <c r="K446" t="s">
        <v>3009</v>
      </c>
    </row>
    <row r="447" spans="1:11">
      <c r="A447" s="380" t="s">
        <v>1458</v>
      </c>
      <c r="B447" t="s">
        <v>1459</v>
      </c>
      <c r="C447" s="380"/>
      <c r="D447" s="380" t="str">
        <f t="shared" si="10"/>
        <v>NACE D - 35.15 Trade of electricity</v>
      </c>
      <c r="K447" t="s">
        <v>3010</v>
      </c>
    </row>
    <row r="448" spans="1:11">
      <c r="A448" s="380" t="s">
        <v>1460</v>
      </c>
      <c r="B448" t="s">
        <v>1461</v>
      </c>
      <c r="C448" s="380"/>
      <c r="D448" s="380" t="str">
        <f t="shared" si="10"/>
        <v>NACE D - 35.16 Storage of electricity</v>
      </c>
      <c r="K448" t="s">
        <v>3011</v>
      </c>
    </row>
    <row r="449" spans="1:11">
      <c r="A449" s="379" t="s">
        <v>1462</v>
      </c>
      <c r="B449" t="s">
        <v>1463</v>
      </c>
      <c r="C449" s="380"/>
      <c r="D449" s="379" t="str">
        <f t="shared" si="10"/>
        <v>NACE D - 35.2 Manufacture of gas, and distribution of gaseous fuels through mains</v>
      </c>
      <c r="K449" t="s">
        <v>3230</v>
      </c>
    </row>
    <row r="450" spans="1:11">
      <c r="A450" s="380" t="s">
        <v>1464</v>
      </c>
      <c r="B450" t="s">
        <v>1465</v>
      </c>
      <c r="C450" s="380"/>
      <c r="D450" s="380" t="str">
        <f t="shared" ref="D450:D513" si="11">_xlfn.CONCAT("NACE ", A450)</f>
        <v>NACE D - 35.21 Manufacture of gas</v>
      </c>
      <c r="K450" t="s">
        <v>3012</v>
      </c>
    </row>
    <row r="451" spans="1:11">
      <c r="A451" s="380" t="s">
        <v>1466</v>
      </c>
      <c r="B451" t="s">
        <v>1467</v>
      </c>
      <c r="C451" s="380"/>
      <c r="D451" s="380" t="str">
        <f t="shared" si="11"/>
        <v>NACE D - 35.22 Distribution of gaseous fuels through mains</v>
      </c>
      <c r="K451" t="s">
        <v>3013</v>
      </c>
    </row>
    <row r="452" spans="1:11">
      <c r="A452" s="380" t="s">
        <v>1468</v>
      </c>
      <c r="B452" t="s">
        <v>1469</v>
      </c>
      <c r="C452" s="380"/>
      <c r="D452" s="380" t="str">
        <f t="shared" si="11"/>
        <v>NACE D - 35.23 Trade of gas through mains</v>
      </c>
      <c r="K452" t="s">
        <v>3014</v>
      </c>
    </row>
    <row r="453" spans="1:11">
      <c r="A453" s="380" t="s">
        <v>1470</v>
      </c>
      <c r="B453" t="s">
        <v>1471</v>
      </c>
      <c r="C453" s="380"/>
      <c r="D453" s="380" t="str">
        <f t="shared" si="11"/>
        <v>NACE D - 35.24 Storage of gas as part of network supply services</v>
      </c>
      <c r="K453" t="s">
        <v>3015</v>
      </c>
    </row>
    <row r="454" spans="1:11">
      <c r="A454" s="379" t="s">
        <v>1472</v>
      </c>
      <c r="B454" t="s">
        <v>1473</v>
      </c>
      <c r="C454" s="380"/>
      <c r="D454" s="379" t="str">
        <f t="shared" si="11"/>
        <v>NACE D - 35.3 Steam and air conditioning supply</v>
      </c>
      <c r="K454" t="s">
        <v>3016</v>
      </c>
    </row>
    <row r="455" spans="1:11">
      <c r="A455" s="380" t="s">
        <v>1474</v>
      </c>
      <c r="B455" t="s">
        <v>1475</v>
      </c>
      <c r="C455" s="380"/>
      <c r="D455" s="380" t="str">
        <f t="shared" si="11"/>
        <v>NACE D - 35.30 Steam and air conditioning supply</v>
      </c>
      <c r="K455" t="s">
        <v>3231</v>
      </c>
    </row>
    <row r="456" spans="1:11">
      <c r="A456" s="379" t="s">
        <v>1476</v>
      </c>
      <c r="B456" t="s">
        <v>1477</v>
      </c>
      <c r="C456" s="380"/>
      <c r="D456" s="379" t="str">
        <f t="shared" si="11"/>
        <v>NACE D - 35.4 Activities of brokers and agents for electric power and natural gas</v>
      </c>
      <c r="K456" t="s">
        <v>3017</v>
      </c>
    </row>
    <row r="457" spans="1:11">
      <c r="A457" s="380" t="s">
        <v>1478</v>
      </c>
      <c r="B457" t="s">
        <v>1479</v>
      </c>
      <c r="C457" s="380"/>
      <c r="D457" s="380" t="str">
        <f t="shared" si="11"/>
        <v>NACE D - 35.40 Activities of brokers and agents for electric power and natural gas</v>
      </c>
      <c r="K457" t="s">
        <v>3018</v>
      </c>
    </row>
    <row r="458" spans="1:11">
      <c r="A458" s="377" t="s">
        <v>1480</v>
      </c>
      <c r="B458" t="s">
        <v>1481</v>
      </c>
      <c r="C458" s="380"/>
      <c r="D458" s="377" t="str">
        <f t="shared" si="11"/>
        <v>NACE E - WATER SUPPLY; SEWERAGE, WASTE MANAGEMENT AND REMEDIATION ACTIVITIES</v>
      </c>
      <c r="K458" t="s">
        <v>3019</v>
      </c>
    </row>
    <row r="459" spans="1:11">
      <c r="A459" s="376" t="s">
        <v>1482</v>
      </c>
      <c r="B459" t="s">
        <v>1483</v>
      </c>
      <c r="C459" s="380"/>
      <c r="D459" s="376" t="str">
        <f t="shared" si="11"/>
        <v>NACE E - 36 Water collection, treatment and supply</v>
      </c>
      <c r="K459" t="s">
        <v>3020</v>
      </c>
    </row>
    <row r="460" spans="1:11">
      <c r="A460" s="379" t="s">
        <v>1484</v>
      </c>
      <c r="B460" t="s">
        <v>1485</v>
      </c>
      <c r="C460" s="380"/>
      <c r="D460" s="379" t="str">
        <f t="shared" si="11"/>
        <v>NACE E - 36.0 Water collection, treatment and supply</v>
      </c>
      <c r="K460" t="s">
        <v>3021</v>
      </c>
    </row>
    <row r="461" spans="1:11">
      <c r="A461" s="380" t="s">
        <v>1486</v>
      </c>
      <c r="B461" t="s">
        <v>1487</v>
      </c>
      <c r="C461" s="380"/>
      <c r="D461" s="380" t="str">
        <f t="shared" si="11"/>
        <v>NACE E - 36.00 Water collection, treatment and supply</v>
      </c>
      <c r="K461" t="s">
        <v>3232</v>
      </c>
    </row>
    <row r="462" spans="1:11">
      <c r="A462" s="376" t="s">
        <v>1488</v>
      </c>
      <c r="B462" t="s">
        <v>1489</v>
      </c>
      <c r="C462" s="380"/>
      <c r="D462" s="376" t="str">
        <f t="shared" si="11"/>
        <v>NACE E - 37 Sewerage</v>
      </c>
      <c r="K462" t="s">
        <v>3022</v>
      </c>
    </row>
    <row r="463" spans="1:11">
      <c r="A463" s="379" t="s">
        <v>1490</v>
      </c>
      <c r="B463" t="s">
        <v>1491</v>
      </c>
      <c r="C463" s="380"/>
      <c r="D463" s="379" t="str">
        <f t="shared" si="11"/>
        <v>NACE E - 37.0 Sewerage</v>
      </c>
      <c r="K463" t="s">
        <v>3023</v>
      </c>
    </row>
    <row r="464" spans="1:11">
      <c r="A464" s="380" t="s">
        <v>1492</v>
      </c>
      <c r="B464" t="s">
        <v>1493</v>
      </c>
      <c r="C464" s="380"/>
      <c r="D464" s="380" t="str">
        <f t="shared" si="11"/>
        <v>NACE E - 37.00 Sewerage</v>
      </c>
      <c r="K464" t="s">
        <v>3024</v>
      </c>
    </row>
    <row r="465" spans="1:11">
      <c r="A465" s="376" t="s">
        <v>1494</v>
      </c>
      <c r="B465" t="s">
        <v>1495</v>
      </c>
      <c r="C465" s="380"/>
      <c r="D465" s="376" t="str">
        <f t="shared" si="11"/>
        <v>NACE E - 38 Waste collection, recovery and disposal activities</v>
      </c>
      <c r="K465" t="s">
        <v>3025</v>
      </c>
    </row>
    <row r="466" spans="1:11">
      <c r="A466" s="379" t="s">
        <v>1496</v>
      </c>
      <c r="B466" t="s">
        <v>1497</v>
      </c>
      <c r="C466" s="380"/>
      <c r="D466" s="379" t="str">
        <f t="shared" si="11"/>
        <v>NACE E - 38.1 Waste collection</v>
      </c>
      <c r="K466" t="s">
        <v>3026</v>
      </c>
    </row>
    <row r="467" spans="1:11">
      <c r="A467" s="380" t="s">
        <v>1498</v>
      </c>
      <c r="B467" t="s">
        <v>1499</v>
      </c>
      <c r="C467" s="380"/>
      <c r="D467" s="380" t="str">
        <f t="shared" si="11"/>
        <v>NACE E - 38.11 Collection of non-hazardous waste</v>
      </c>
      <c r="K467" t="s">
        <v>3027</v>
      </c>
    </row>
    <row r="468" spans="1:11">
      <c r="A468" s="380" t="s">
        <v>1500</v>
      </c>
      <c r="B468" t="s">
        <v>1501</v>
      </c>
      <c r="C468" s="380"/>
      <c r="D468" s="380" t="str">
        <f t="shared" si="11"/>
        <v>NACE E - 38.12 Collection of hazardous waste</v>
      </c>
      <c r="K468" t="s">
        <v>3028</v>
      </c>
    </row>
    <row r="469" spans="1:11">
      <c r="A469" s="379" t="s">
        <v>1502</v>
      </c>
      <c r="B469" t="s">
        <v>1503</v>
      </c>
      <c r="C469" s="380"/>
      <c r="D469" s="379" t="str">
        <f t="shared" si="11"/>
        <v>NACE E - 38.2 Waste recovery</v>
      </c>
      <c r="K469" t="s">
        <v>3029</v>
      </c>
    </row>
    <row r="470" spans="1:11">
      <c r="A470" s="380" t="s">
        <v>1504</v>
      </c>
      <c r="B470" t="s">
        <v>1505</v>
      </c>
      <c r="C470" s="380"/>
      <c r="D470" s="380" t="str">
        <f t="shared" si="11"/>
        <v>NACE E - 38.21 Materials recovery</v>
      </c>
      <c r="K470" t="s">
        <v>3030</v>
      </c>
    </row>
    <row r="471" spans="1:11">
      <c r="A471" s="380" t="s">
        <v>1506</v>
      </c>
      <c r="B471" t="s">
        <v>1507</v>
      </c>
      <c r="C471" s="380"/>
      <c r="D471" s="380" t="str">
        <f t="shared" si="11"/>
        <v>NACE E - 38.22 Energy recovery</v>
      </c>
      <c r="K471" t="s">
        <v>3233</v>
      </c>
    </row>
    <row r="472" spans="1:11">
      <c r="A472" s="380" t="s">
        <v>1508</v>
      </c>
      <c r="B472" t="s">
        <v>1509</v>
      </c>
      <c r="C472" s="380"/>
      <c r="D472" s="380" t="str">
        <f t="shared" si="11"/>
        <v>NACE E - 38.23 Other waste recovery</v>
      </c>
      <c r="K472" t="s">
        <v>3031</v>
      </c>
    </row>
    <row r="473" spans="1:11">
      <c r="A473" s="379" t="s">
        <v>1510</v>
      </c>
      <c r="B473" t="s">
        <v>1511</v>
      </c>
      <c r="C473" s="380"/>
      <c r="D473" s="379" t="str">
        <f t="shared" si="11"/>
        <v>NACE E - 38.3 Waste disposal without recovery</v>
      </c>
      <c r="K473" t="s">
        <v>3032</v>
      </c>
    </row>
    <row r="474" spans="1:11">
      <c r="A474" s="380" t="s">
        <v>1512</v>
      </c>
      <c r="B474" t="s">
        <v>1513</v>
      </c>
      <c r="C474" s="380"/>
      <c r="D474" s="380" t="str">
        <f t="shared" si="11"/>
        <v>NACE E - 38.31 Incineration without energy recovery</v>
      </c>
      <c r="K474" t="s">
        <v>3033</v>
      </c>
    </row>
    <row r="475" spans="1:11">
      <c r="A475" s="380" t="s">
        <v>1514</v>
      </c>
      <c r="B475" t="s">
        <v>1515</v>
      </c>
      <c r="C475" s="380"/>
      <c r="D475" s="380" t="str">
        <f t="shared" si="11"/>
        <v>NACE E - 38.32 Landfilling or permanent storage</v>
      </c>
      <c r="K475" t="s">
        <v>3034</v>
      </c>
    </row>
    <row r="476" spans="1:11">
      <c r="A476" s="380" t="s">
        <v>1516</v>
      </c>
      <c r="B476" t="s">
        <v>1517</v>
      </c>
      <c r="C476" s="380"/>
      <c r="D476" s="380" t="str">
        <f t="shared" si="11"/>
        <v>NACE E - 38.33 Other waste disposal</v>
      </c>
      <c r="K476" t="s">
        <v>3035</v>
      </c>
    </row>
    <row r="477" spans="1:11">
      <c r="A477" s="376" t="s">
        <v>1518</v>
      </c>
      <c r="B477" t="s">
        <v>1519</v>
      </c>
      <c r="C477" s="380"/>
      <c r="D477" s="376" t="str">
        <f t="shared" si="11"/>
        <v>NACE E - 39 Remediation activities and other waste management service activities</v>
      </c>
      <c r="K477" t="s">
        <v>3036</v>
      </c>
    </row>
    <row r="478" spans="1:11">
      <c r="A478" s="379" t="s">
        <v>1520</v>
      </c>
      <c r="B478" t="s">
        <v>1521</v>
      </c>
      <c r="C478" s="380"/>
      <c r="D478" s="379" t="str">
        <f t="shared" si="11"/>
        <v>NACE E - 39.0 Remediation activities and other waste management service activities</v>
      </c>
      <c r="K478" t="s">
        <v>3037</v>
      </c>
    </row>
    <row r="479" spans="1:11">
      <c r="A479" s="380" t="s">
        <v>1522</v>
      </c>
      <c r="B479" t="s">
        <v>1523</v>
      </c>
      <c r="C479" s="380"/>
      <c r="D479" s="380" t="str">
        <f t="shared" si="11"/>
        <v>NACE E - 39.00 Remediation activities and other waste management service activities</v>
      </c>
      <c r="K479" t="s">
        <v>3038</v>
      </c>
    </row>
    <row r="480" spans="1:11">
      <c r="A480" s="377" t="s">
        <v>1524</v>
      </c>
      <c r="B480" t="s">
        <v>1525</v>
      </c>
      <c r="C480" s="380"/>
      <c r="D480" s="377" t="str">
        <f t="shared" si="11"/>
        <v>NACE F - CONSTRUCTION</v>
      </c>
      <c r="K480" t="s">
        <v>3234</v>
      </c>
    </row>
    <row r="481" spans="1:11">
      <c r="A481" s="376" t="s">
        <v>1526</v>
      </c>
      <c r="B481" t="s">
        <v>1527</v>
      </c>
      <c r="C481" s="380"/>
      <c r="D481" s="376" t="str">
        <f t="shared" si="11"/>
        <v>NACE F - 41 Construction of residential and non-residential buildings</v>
      </c>
      <c r="K481" t="s">
        <v>3039</v>
      </c>
    </row>
    <row r="482" spans="1:11">
      <c r="A482" s="379" t="s">
        <v>1528</v>
      </c>
      <c r="B482" t="s">
        <v>1529</v>
      </c>
      <c r="C482" s="380"/>
      <c r="D482" s="379" t="str">
        <f t="shared" si="11"/>
        <v>NACE F - 41.0 Construction of residential and non-residential buildings</v>
      </c>
      <c r="K482" t="s">
        <v>3040</v>
      </c>
    </row>
    <row r="483" spans="1:11">
      <c r="A483" s="380" t="s">
        <v>1530</v>
      </c>
      <c r="B483" t="s">
        <v>1531</v>
      </c>
      <c r="C483" s="380"/>
      <c r="D483" s="380" t="str">
        <f t="shared" si="11"/>
        <v>NACE F - 41.00 Construction of residential and non-residential buildings</v>
      </c>
      <c r="K483" t="s">
        <v>3041</v>
      </c>
    </row>
    <row r="484" spans="1:11">
      <c r="A484" s="376" t="s">
        <v>1532</v>
      </c>
      <c r="B484" t="s">
        <v>1533</v>
      </c>
      <c r="C484" s="380"/>
      <c r="D484" s="376" t="str">
        <f t="shared" si="11"/>
        <v>NACE F - 42 Civil engineering</v>
      </c>
      <c r="K484" t="s">
        <v>3042</v>
      </c>
    </row>
    <row r="485" spans="1:11">
      <c r="A485" s="379" t="s">
        <v>1534</v>
      </c>
      <c r="B485" t="s">
        <v>1535</v>
      </c>
      <c r="C485" s="380"/>
      <c r="D485" s="379" t="str">
        <f t="shared" si="11"/>
        <v>NACE F - 42.1 Construction of roads and railways</v>
      </c>
      <c r="K485" t="s">
        <v>3043</v>
      </c>
    </row>
    <row r="486" spans="1:11">
      <c r="A486" s="380" t="s">
        <v>1536</v>
      </c>
      <c r="B486" t="s">
        <v>1537</v>
      </c>
      <c r="C486" s="380"/>
      <c r="D486" s="380" t="str">
        <f t="shared" si="11"/>
        <v>NACE F - 42.11 Construction of roads and motorways</v>
      </c>
      <c r="K486" t="s">
        <v>3044</v>
      </c>
    </row>
    <row r="487" spans="1:11">
      <c r="A487" s="380" t="s">
        <v>1538</v>
      </c>
      <c r="B487" t="s">
        <v>1539</v>
      </c>
      <c r="C487" s="380"/>
      <c r="D487" s="380" t="str">
        <f t="shared" si="11"/>
        <v>NACE F - 42.12 Construction of railways and underground railways</v>
      </c>
      <c r="K487" t="s">
        <v>3045</v>
      </c>
    </row>
    <row r="488" spans="1:11">
      <c r="A488" s="380" t="s">
        <v>1540</v>
      </c>
      <c r="B488" t="s">
        <v>1541</v>
      </c>
      <c r="C488" s="380"/>
      <c r="D488" s="380" t="str">
        <f t="shared" si="11"/>
        <v>NACE F - 42.13 Construction of bridges and tunnels</v>
      </c>
      <c r="K488" t="s">
        <v>3046</v>
      </c>
    </row>
    <row r="489" spans="1:11">
      <c r="A489" s="379" t="s">
        <v>1542</v>
      </c>
      <c r="B489" t="s">
        <v>1543</v>
      </c>
      <c r="C489" s="380"/>
      <c r="D489" s="379" t="str">
        <f t="shared" si="11"/>
        <v>NACE F - 42.2 Construction of utility projects</v>
      </c>
      <c r="K489" t="s">
        <v>3047</v>
      </c>
    </row>
    <row r="490" spans="1:11">
      <c r="A490" s="380" t="s">
        <v>1544</v>
      </c>
      <c r="B490" t="s">
        <v>1545</v>
      </c>
      <c r="C490" s="380"/>
      <c r="D490" s="380" t="str">
        <f t="shared" si="11"/>
        <v>NACE F - 42.21 Construction of utility projects for fluids</v>
      </c>
      <c r="K490" t="s">
        <v>2763</v>
      </c>
    </row>
    <row r="491" spans="1:11">
      <c r="A491" s="380" t="s">
        <v>1546</v>
      </c>
      <c r="B491" t="s">
        <v>1547</v>
      </c>
      <c r="C491" s="380"/>
      <c r="D491" s="380" t="str">
        <f t="shared" si="11"/>
        <v>NACE F - 42.22 Construction of utility projects for electricity and telecommunications</v>
      </c>
      <c r="K491" t="s">
        <v>3235</v>
      </c>
    </row>
    <row r="492" spans="1:11">
      <c r="A492" s="379" t="s">
        <v>1548</v>
      </c>
      <c r="B492" t="s">
        <v>1549</v>
      </c>
      <c r="C492" s="380"/>
      <c r="D492" s="379" t="str">
        <f t="shared" si="11"/>
        <v>NACE F - 42.9 Construction of other civil engineering projects</v>
      </c>
      <c r="K492" t="s">
        <v>3486</v>
      </c>
    </row>
    <row r="493" spans="1:11">
      <c r="A493" s="380" t="s">
        <v>1550</v>
      </c>
      <c r="B493" t="s">
        <v>1551</v>
      </c>
      <c r="C493" s="380"/>
      <c r="D493" s="380" t="str">
        <f t="shared" si="11"/>
        <v>NACE F - 42.91 Construction of water projects</v>
      </c>
      <c r="K493" t="s">
        <v>3487</v>
      </c>
    </row>
    <row r="494" spans="1:11">
      <c r="A494" s="380" t="s">
        <v>1552</v>
      </c>
      <c r="B494" t="s">
        <v>1553</v>
      </c>
      <c r="C494" s="380"/>
      <c r="D494" s="380" t="str">
        <f t="shared" si="11"/>
        <v>NACE F - 42.99 Construction of other civil engineering projects n.e.c.</v>
      </c>
      <c r="K494" t="s">
        <v>3488</v>
      </c>
    </row>
    <row r="495" spans="1:11">
      <c r="A495" s="376" t="s">
        <v>1554</v>
      </c>
      <c r="B495" t="s">
        <v>1555</v>
      </c>
      <c r="C495" s="380"/>
      <c r="D495" s="376" t="str">
        <f t="shared" si="11"/>
        <v>NACE F - 43 Specialised construction activities</v>
      </c>
      <c r="K495" t="s">
        <v>3048</v>
      </c>
    </row>
    <row r="496" spans="1:11">
      <c r="A496" s="379" t="s">
        <v>1556</v>
      </c>
      <c r="B496" t="s">
        <v>1557</v>
      </c>
      <c r="C496" s="380"/>
      <c r="D496" s="379" t="str">
        <f t="shared" si="11"/>
        <v>NACE F - 43.1 Demolition and site preparation</v>
      </c>
      <c r="K496" t="s">
        <v>3489</v>
      </c>
    </row>
    <row r="497" spans="1:11">
      <c r="A497" s="380" t="s">
        <v>1558</v>
      </c>
      <c r="B497" t="s">
        <v>1559</v>
      </c>
      <c r="C497" s="380"/>
      <c r="D497" s="380" t="str">
        <f t="shared" si="11"/>
        <v>NACE F - 43.11 Demolition</v>
      </c>
      <c r="K497" t="s">
        <v>3490</v>
      </c>
    </row>
    <row r="498" spans="1:11">
      <c r="A498" s="380" t="s">
        <v>1560</v>
      </c>
      <c r="B498" t="s">
        <v>1561</v>
      </c>
      <c r="C498" s="380"/>
      <c r="D498" s="380" t="str">
        <f t="shared" si="11"/>
        <v>NACE F - 43.12 Site preparation</v>
      </c>
      <c r="K498" t="s">
        <v>3491</v>
      </c>
    </row>
    <row r="499" spans="1:11">
      <c r="A499" s="380" t="s">
        <v>1562</v>
      </c>
      <c r="B499" t="s">
        <v>1563</v>
      </c>
      <c r="C499" s="380"/>
      <c r="D499" s="380" t="str">
        <f t="shared" si="11"/>
        <v>NACE F - 43.13 Test drilling and boring</v>
      </c>
      <c r="K499" t="s">
        <v>3492</v>
      </c>
    </row>
    <row r="500" spans="1:11">
      <c r="A500" s="379" t="s">
        <v>1564</v>
      </c>
      <c r="B500" t="s">
        <v>1565</v>
      </c>
      <c r="C500" s="380"/>
      <c r="D500" s="379" t="str">
        <f t="shared" si="11"/>
        <v>NACE F - 43.2 Electrical, plumbing and other construction installation activities</v>
      </c>
      <c r="K500" t="s">
        <v>3236</v>
      </c>
    </row>
    <row r="501" spans="1:11">
      <c r="A501" s="380" t="s">
        <v>1566</v>
      </c>
      <c r="B501" t="s">
        <v>1567</v>
      </c>
      <c r="C501" s="380"/>
      <c r="D501" s="380" t="str">
        <f t="shared" si="11"/>
        <v>NACE F - 43.21 Electrical installation</v>
      </c>
      <c r="K501" t="s">
        <v>3049</v>
      </c>
    </row>
    <row r="502" spans="1:11">
      <c r="A502" s="380" t="s">
        <v>1568</v>
      </c>
      <c r="B502" t="s">
        <v>1569</v>
      </c>
      <c r="C502" s="380"/>
      <c r="D502" s="380" t="str">
        <f t="shared" si="11"/>
        <v>NACE F - 43.22 Plumbing, heat and air-conditioning installation</v>
      </c>
      <c r="K502" t="s">
        <v>3493</v>
      </c>
    </row>
    <row r="503" spans="1:11">
      <c r="A503" s="380" t="s">
        <v>1570</v>
      </c>
      <c r="B503" t="s">
        <v>1571</v>
      </c>
      <c r="C503" s="380"/>
      <c r="D503" s="380" t="str">
        <f t="shared" si="11"/>
        <v>NACE F - 43.23 Installation of insulation</v>
      </c>
      <c r="K503" t="s">
        <v>3050</v>
      </c>
    </row>
    <row r="504" spans="1:11">
      <c r="A504" s="380" t="s">
        <v>1572</v>
      </c>
      <c r="B504" t="s">
        <v>1573</v>
      </c>
      <c r="C504" s="380"/>
      <c r="D504" s="380" t="str">
        <f t="shared" si="11"/>
        <v>NACE F - 43.24 Other construction installation</v>
      </c>
      <c r="K504" t="s">
        <v>3051</v>
      </c>
    </row>
    <row r="505" spans="1:11">
      <c r="A505" s="379" t="s">
        <v>1574</v>
      </c>
      <c r="B505" t="s">
        <v>1575</v>
      </c>
      <c r="C505" s="380"/>
      <c r="D505" s="379" t="str">
        <f t="shared" si="11"/>
        <v>NACE F - 43.3 Building completion and finishing</v>
      </c>
      <c r="K505" t="s">
        <v>3237</v>
      </c>
    </row>
    <row r="506" spans="1:11">
      <c r="A506" s="380" t="s">
        <v>1576</v>
      </c>
      <c r="B506" t="s">
        <v>1577</v>
      </c>
      <c r="C506" s="380"/>
      <c r="D506" s="380" t="str">
        <f t="shared" si="11"/>
        <v>NACE F - 43.31 Plastering</v>
      </c>
      <c r="K506" t="s">
        <v>3494</v>
      </c>
    </row>
    <row r="507" spans="1:11">
      <c r="A507" s="380" t="s">
        <v>1578</v>
      </c>
      <c r="B507" t="s">
        <v>1579</v>
      </c>
      <c r="C507" s="380"/>
      <c r="D507" s="380" t="str">
        <f t="shared" si="11"/>
        <v>NACE F - 43.32 Joinery installation</v>
      </c>
      <c r="K507" t="s">
        <v>3495</v>
      </c>
    </row>
    <row r="508" spans="1:11">
      <c r="A508" s="380" t="s">
        <v>1580</v>
      </c>
      <c r="B508" t="s">
        <v>1581</v>
      </c>
      <c r="C508" s="380"/>
      <c r="D508" s="380" t="str">
        <f t="shared" si="11"/>
        <v>NACE F - 43.33 Floor and wall covering</v>
      </c>
      <c r="K508" t="s">
        <v>3238</v>
      </c>
    </row>
    <row r="509" spans="1:11">
      <c r="A509" s="380" t="s">
        <v>1582</v>
      </c>
      <c r="B509" t="s">
        <v>1583</v>
      </c>
      <c r="C509" s="380"/>
      <c r="D509" s="380" t="str">
        <f t="shared" si="11"/>
        <v>NACE F - 43.34 Painting and glazing</v>
      </c>
      <c r="K509" t="s">
        <v>3052</v>
      </c>
    </row>
    <row r="510" spans="1:11">
      <c r="A510" s="380" t="s">
        <v>1584</v>
      </c>
      <c r="B510" t="s">
        <v>1585</v>
      </c>
      <c r="C510" s="380"/>
      <c r="D510" s="380" t="str">
        <f t="shared" si="11"/>
        <v>NACE F - 43.35 Other building completion and finishing</v>
      </c>
      <c r="K510" t="s">
        <v>2764</v>
      </c>
    </row>
    <row r="511" spans="1:11">
      <c r="A511" s="379" t="s">
        <v>1586</v>
      </c>
      <c r="B511" t="s">
        <v>1587</v>
      </c>
      <c r="C511" s="380"/>
      <c r="D511" s="379" t="str">
        <f t="shared" si="11"/>
        <v>NACE F - 43.4 Specialised construction activities in construction of buildings</v>
      </c>
      <c r="K511" t="s">
        <v>3239</v>
      </c>
    </row>
    <row r="512" spans="1:11">
      <c r="A512" s="380" t="s">
        <v>1588</v>
      </c>
      <c r="B512" t="s">
        <v>1589</v>
      </c>
      <c r="C512" s="380"/>
      <c r="D512" s="380" t="str">
        <f t="shared" si="11"/>
        <v>NACE F - 43.41 Roofing activities</v>
      </c>
      <c r="K512" t="s">
        <v>3053</v>
      </c>
    </row>
    <row r="513" spans="1:11">
      <c r="A513" s="380" t="s">
        <v>1590</v>
      </c>
      <c r="B513" t="s">
        <v>1591</v>
      </c>
      <c r="C513" s="380"/>
      <c r="D513" s="380" t="str">
        <f t="shared" si="11"/>
        <v>NACE F - 43.42 Other specialised construction activities in construction of buildings</v>
      </c>
      <c r="K513" t="s">
        <v>3054</v>
      </c>
    </row>
    <row r="514" spans="1:11">
      <c r="A514" s="379" t="s">
        <v>1592</v>
      </c>
      <c r="B514" t="s">
        <v>1593</v>
      </c>
      <c r="C514" s="380"/>
      <c r="D514" s="379" t="str">
        <f t="shared" ref="D514:D577" si="12">_xlfn.CONCAT("NACE ", A514)</f>
        <v>NACE F - 43.5 Specialised construction activities in civil engineering</v>
      </c>
      <c r="K514" t="s">
        <v>3055</v>
      </c>
    </row>
    <row r="515" spans="1:11">
      <c r="A515" s="380" t="s">
        <v>1594</v>
      </c>
      <c r="B515" t="s">
        <v>1595</v>
      </c>
      <c r="C515" s="380"/>
      <c r="D515" s="380" t="str">
        <f t="shared" si="12"/>
        <v>NACE F - 43.50 Specialised construction activities in civil engineering</v>
      </c>
      <c r="K515" t="s">
        <v>3056</v>
      </c>
    </row>
    <row r="516" spans="1:11">
      <c r="A516" s="379" t="s">
        <v>1596</v>
      </c>
      <c r="B516" t="s">
        <v>1597</v>
      </c>
      <c r="C516" s="380"/>
      <c r="D516" s="379" t="str">
        <f t="shared" si="12"/>
        <v>NACE F - 43.6 Intermediation service activities for specialised construction services</v>
      </c>
      <c r="K516" t="s">
        <v>3057</v>
      </c>
    </row>
    <row r="517" spans="1:11">
      <c r="A517" s="380" t="s">
        <v>1598</v>
      </c>
      <c r="B517" t="s">
        <v>1599</v>
      </c>
      <c r="C517" s="380"/>
      <c r="D517" s="380" t="str">
        <f t="shared" si="12"/>
        <v>NACE F - 43.60 Intermediation service activities for specialised construction services</v>
      </c>
      <c r="K517" t="s">
        <v>3496</v>
      </c>
    </row>
    <row r="518" spans="1:11">
      <c r="A518" s="379" t="s">
        <v>1600</v>
      </c>
      <c r="B518" t="s">
        <v>1601</v>
      </c>
      <c r="C518" s="380"/>
      <c r="D518" s="379" t="str">
        <f t="shared" si="12"/>
        <v>NACE F - 43.9 Other specialised construction activities</v>
      </c>
      <c r="K518" t="s">
        <v>3497</v>
      </c>
    </row>
    <row r="519" spans="1:11">
      <c r="A519" s="380" t="s">
        <v>1602</v>
      </c>
      <c r="B519" t="s">
        <v>1603</v>
      </c>
      <c r="C519" s="380"/>
      <c r="D519" s="380" t="str">
        <f t="shared" si="12"/>
        <v>NACE F - 43.91 Masonry and bricklaying activities</v>
      </c>
      <c r="K519" t="s">
        <v>3498</v>
      </c>
    </row>
    <row r="520" spans="1:11">
      <c r="A520" s="380" t="s">
        <v>1604</v>
      </c>
      <c r="B520" t="s">
        <v>1605</v>
      </c>
      <c r="C520" s="380"/>
      <c r="D520" s="380" t="str">
        <f t="shared" si="12"/>
        <v>NACE F - 43.99 Other specialised construction activities n.e.c.</v>
      </c>
      <c r="K520" t="s">
        <v>3499</v>
      </c>
    </row>
    <row r="521" spans="1:11">
      <c r="A521" s="377" t="s">
        <v>1606</v>
      </c>
      <c r="B521" t="s">
        <v>1607</v>
      </c>
      <c r="C521" s="380"/>
      <c r="D521" s="377" t="str">
        <f t="shared" si="12"/>
        <v>NACE G - WHOLESALE AND RETAIL TRADE</v>
      </c>
      <c r="K521" t="s">
        <v>3500</v>
      </c>
    </row>
    <row r="522" spans="1:11">
      <c r="A522" s="376" t="s">
        <v>1608</v>
      </c>
      <c r="B522" t="s">
        <v>1609</v>
      </c>
      <c r="C522" s="380"/>
      <c r="D522" s="376" t="str">
        <f t="shared" si="12"/>
        <v>NACE G - 46 Wholesale trade</v>
      </c>
      <c r="K522" t="s">
        <v>3501</v>
      </c>
    </row>
    <row r="523" spans="1:11">
      <c r="A523" s="379" t="s">
        <v>1610</v>
      </c>
      <c r="B523" t="s">
        <v>1611</v>
      </c>
      <c r="C523" s="380"/>
      <c r="D523" s="379" t="str">
        <f t="shared" si="12"/>
        <v>NACE G - 46.1 Wholesale on a fee or contract basis</v>
      </c>
      <c r="K523" t="s">
        <v>3502</v>
      </c>
    </row>
    <row r="524" spans="1:11">
      <c r="A524" s="380" t="s">
        <v>1612</v>
      </c>
      <c r="B524" t="s">
        <v>1613</v>
      </c>
      <c r="C524" s="380"/>
      <c r="D524" s="380" t="str">
        <f t="shared" si="12"/>
        <v>NACE G - 46.11 Activities of agents involved in the wholesale of agricultural raw materials, live animals, textile raw materials and semi-finished goods</v>
      </c>
      <c r="K524" t="s">
        <v>3058</v>
      </c>
    </row>
    <row r="525" spans="1:11">
      <c r="A525" s="380" t="s">
        <v>1614</v>
      </c>
      <c r="B525" t="s">
        <v>1615</v>
      </c>
      <c r="C525" s="380"/>
      <c r="D525" s="380" t="str">
        <f t="shared" si="12"/>
        <v>NACE G - 46.12 Activities of agents involved in the wholesale of fuels, ores, metals and industrial chemicals</v>
      </c>
      <c r="K525" t="s">
        <v>3059</v>
      </c>
    </row>
    <row r="526" spans="1:11">
      <c r="A526" s="380" t="s">
        <v>1616</v>
      </c>
      <c r="B526" t="s">
        <v>1617</v>
      </c>
      <c r="C526" s="380"/>
      <c r="D526" s="380" t="str">
        <f t="shared" si="12"/>
        <v>NACE G - 46.13 Activities of agents involved in the wholesale of timber and building materials</v>
      </c>
      <c r="K526" t="s">
        <v>3240</v>
      </c>
    </row>
    <row r="527" spans="1:11">
      <c r="A527" s="380" t="s">
        <v>1618</v>
      </c>
      <c r="B527" t="s">
        <v>1619</v>
      </c>
      <c r="C527" s="380"/>
      <c r="D527" s="380" t="str">
        <f t="shared" si="12"/>
        <v>NACE G - 46.14 Activities of agents involved in the wholesale of machinery, industrial equipment, ships and aircraft</v>
      </c>
      <c r="K527" t="s">
        <v>3060</v>
      </c>
    </row>
    <row r="528" spans="1:11">
      <c r="A528" s="380" t="s">
        <v>1620</v>
      </c>
      <c r="B528" t="s">
        <v>1621</v>
      </c>
      <c r="C528" s="380"/>
      <c r="D528" s="380" t="str">
        <f t="shared" si="12"/>
        <v>NACE G - 46.15 Activities of agents involved in the wholesale of furniture, household goods, hardware and ironmongery</v>
      </c>
      <c r="K528" t="s">
        <v>3061</v>
      </c>
    </row>
    <row r="529" spans="1:11">
      <c r="A529" s="380" t="s">
        <v>1622</v>
      </c>
      <c r="B529" t="s">
        <v>1623</v>
      </c>
      <c r="C529" s="380"/>
      <c r="D529" s="380" t="str">
        <f t="shared" si="12"/>
        <v>NACE G - 46.16 Activities of agents involved in the wholesale of textiles, clothing, fur, footwear and leather goods</v>
      </c>
      <c r="K529" t="s">
        <v>3062</v>
      </c>
    </row>
    <row r="530" spans="1:11">
      <c r="A530" s="380" t="s">
        <v>1624</v>
      </c>
      <c r="B530" t="s">
        <v>1625</v>
      </c>
      <c r="C530" s="380"/>
      <c r="D530" s="380" t="str">
        <f t="shared" si="12"/>
        <v>NACE G - 46.17 Activities of agents involved in the wholesale of food, beverages and tobacco</v>
      </c>
      <c r="K530" t="s">
        <v>3063</v>
      </c>
    </row>
    <row r="531" spans="1:11">
      <c r="A531" s="380" t="s">
        <v>1626</v>
      </c>
      <c r="B531" t="s">
        <v>1627</v>
      </c>
      <c r="C531" s="380"/>
      <c r="D531" s="380" t="str">
        <f t="shared" si="12"/>
        <v>NACE G - 46.18 Activities of agents involved in the wholesale of other particular products</v>
      </c>
      <c r="K531" t="s">
        <v>3241</v>
      </c>
    </row>
    <row r="532" spans="1:11">
      <c r="A532" s="380" t="s">
        <v>1628</v>
      </c>
      <c r="B532" t="s">
        <v>1629</v>
      </c>
      <c r="C532" s="380"/>
      <c r="D532" s="380" t="str">
        <f t="shared" si="12"/>
        <v>NACE G - 46.19 Activities of agents involved in non-specialised wholesale</v>
      </c>
      <c r="K532" t="s">
        <v>3503</v>
      </c>
    </row>
    <row r="533" spans="1:11">
      <c r="A533" s="379" t="s">
        <v>1630</v>
      </c>
      <c r="B533" t="s">
        <v>1631</v>
      </c>
      <c r="C533" s="380"/>
      <c r="D533" s="379" t="str">
        <f t="shared" si="12"/>
        <v>NACE G - 46.2 Wholesale of agricultural raw materials and live animals</v>
      </c>
      <c r="K533" t="s">
        <v>3504</v>
      </c>
    </row>
    <row r="534" spans="1:11">
      <c r="A534" s="380" t="s">
        <v>1632</v>
      </c>
      <c r="B534" t="s">
        <v>1633</v>
      </c>
      <c r="C534" s="380"/>
      <c r="D534" s="380" t="str">
        <f t="shared" si="12"/>
        <v>NACE G - 46.21 Wholesale of grain, unmanufactured tobacco, seeds and animal feeds</v>
      </c>
      <c r="K534" t="s">
        <v>2765</v>
      </c>
    </row>
    <row r="535" spans="1:11">
      <c r="A535" s="380" t="s">
        <v>1634</v>
      </c>
      <c r="B535" t="s">
        <v>1635</v>
      </c>
      <c r="C535" s="380"/>
      <c r="D535" s="380" t="str">
        <f t="shared" si="12"/>
        <v>NACE G - 46.22 Wholesale of flowers and plants</v>
      </c>
      <c r="K535" t="s">
        <v>3242</v>
      </c>
    </row>
    <row r="536" spans="1:11">
      <c r="A536" s="380" t="s">
        <v>1636</v>
      </c>
      <c r="B536" t="s">
        <v>1637</v>
      </c>
      <c r="C536" s="380"/>
      <c r="D536" s="380" t="str">
        <f t="shared" si="12"/>
        <v>NACE G - 46.23 Wholesale of live animals</v>
      </c>
      <c r="K536" t="s">
        <v>3505</v>
      </c>
    </row>
    <row r="537" spans="1:11">
      <c r="A537" s="380" t="s">
        <v>1638</v>
      </c>
      <c r="B537" t="s">
        <v>1639</v>
      </c>
      <c r="C537" s="380"/>
      <c r="D537" s="380" t="str">
        <f t="shared" si="12"/>
        <v>NACE G - 46.24 Wholesale of hides, skins and leather</v>
      </c>
      <c r="K537" t="s">
        <v>3506</v>
      </c>
    </row>
    <row r="538" spans="1:11">
      <c r="A538" s="379" t="s">
        <v>1640</v>
      </c>
      <c r="B538" t="s">
        <v>1641</v>
      </c>
      <c r="C538" s="380"/>
      <c r="D538" s="379" t="str">
        <f t="shared" si="12"/>
        <v>NACE G - 46.3 Wholesale of food, beverages and tobacco</v>
      </c>
      <c r="K538" t="s">
        <v>3507</v>
      </c>
    </row>
    <row r="539" spans="1:11">
      <c r="A539" s="380" t="s">
        <v>1642</v>
      </c>
      <c r="B539" t="s">
        <v>1643</v>
      </c>
      <c r="C539" s="380"/>
      <c r="D539" s="380" t="str">
        <f t="shared" si="12"/>
        <v>NACE G - 46.31 Wholesale of fruit and vegetables</v>
      </c>
      <c r="K539" t="s">
        <v>3508</v>
      </c>
    </row>
    <row r="540" spans="1:11">
      <c r="A540" s="380" t="s">
        <v>1644</v>
      </c>
      <c r="B540" t="s">
        <v>1645</v>
      </c>
      <c r="C540" s="380"/>
      <c r="D540" s="380" t="str">
        <f t="shared" si="12"/>
        <v>NACE G - 46.32 Wholesale of meat, meat products, fish and fish products</v>
      </c>
      <c r="K540" t="s">
        <v>3509</v>
      </c>
    </row>
    <row r="541" spans="1:11">
      <c r="A541" s="380" t="s">
        <v>1646</v>
      </c>
      <c r="B541" t="s">
        <v>1647</v>
      </c>
      <c r="C541" s="380"/>
      <c r="D541" s="380" t="str">
        <f t="shared" si="12"/>
        <v>NACE G - 46.33 Wholesale of dairy products, eggs and edible oils and fats</v>
      </c>
      <c r="K541" t="s">
        <v>3510</v>
      </c>
    </row>
    <row r="542" spans="1:11">
      <c r="A542" s="380" t="s">
        <v>1648</v>
      </c>
      <c r="B542" t="s">
        <v>1649</v>
      </c>
      <c r="C542" s="380"/>
      <c r="D542" s="380" t="str">
        <f t="shared" si="12"/>
        <v>NACE G - 46.34 Wholesale of beverages</v>
      </c>
      <c r="K542" t="s">
        <v>3511</v>
      </c>
    </row>
    <row r="543" spans="1:11">
      <c r="A543" s="380" t="s">
        <v>1650</v>
      </c>
      <c r="B543" t="s">
        <v>1651</v>
      </c>
      <c r="C543" s="380"/>
      <c r="D543" s="380" t="str">
        <f t="shared" si="12"/>
        <v>NACE G - 46.35 Wholesale of tobacco products</v>
      </c>
      <c r="K543" t="s">
        <v>3512</v>
      </c>
    </row>
    <row r="544" spans="1:11">
      <c r="A544" s="380" t="s">
        <v>1652</v>
      </c>
      <c r="B544" t="s">
        <v>1653</v>
      </c>
      <c r="C544" s="380"/>
      <c r="D544" s="380" t="str">
        <f t="shared" si="12"/>
        <v>NACE G - 46.36 Wholesale of sugar, chocolate and sugar confectionery</v>
      </c>
      <c r="K544" t="s">
        <v>3243</v>
      </c>
    </row>
    <row r="545" spans="1:11">
      <c r="A545" s="380" t="s">
        <v>1654</v>
      </c>
      <c r="B545" t="s">
        <v>1655</v>
      </c>
      <c r="C545" s="380"/>
      <c r="D545" s="380" t="str">
        <f t="shared" si="12"/>
        <v>NACE G - 46.37 Wholesale of coffee, tea, cocoa and spices</v>
      </c>
      <c r="K545" t="s">
        <v>3513</v>
      </c>
    </row>
    <row r="546" spans="1:11">
      <c r="A546" s="380" t="s">
        <v>1656</v>
      </c>
      <c r="B546" t="s">
        <v>1657</v>
      </c>
      <c r="C546" s="380"/>
      <c r="D546" s="380" t="str">
        <f t="shared" si="12"/>
        <v>NACE G - 46.38 Wholesale of other food</v>
      </c>
      <c r="K546" t="s">
        <v>3514</v>
      </c>
    </row>
    <row r="547" spans="1:11">
      <c r="A547" s="380" t="s">
        <v>1658</v>
      </c>
      <c r="B547" t="s">
        <v>1659</v>
      </c>
      <c r="C547" s="380"/>
      <c r="D547" s="380" t="str">
        <f t="shared" si="12"/>
        <v>NACE G - 46.39 Non-specialised wholesale of food, beverages and tobacco</v>
      </c>
      <c r="K547" t="s">
        <v>3515</v>
      </c>
    </row>
    <row r="548" spans="1:11">
      <c r="A548" s="379" t="s">
        <v>1660</v>
      </c>
      <c r="B548" t="s">
        <v>1661</v>
      </c>
      <c r="C548" s="380"/>
      <c r="D548" s="379" t="str">
        <f t="shared" si="12"/>
        <v>NACE G - 46.4 Wholesale of household goods</v>
      </c>
      <c r="K548" t="s">
        <v>3244</v>
      </c>
    </row>
    <row r="549" spans="1:11">
      <c r="A549" s="380" t="s">
        <v>1662</v>
      </c>
      <c r="B549" t="s">
        <v>1663</v>
      </c>
      <c r="C549" s="380"/>
      <c r="D549" s="380" t="str">
        <f t="shared" si="12"/>
        <v>NACE G - 46.41 Wholesale of textiles</v>
      </c>
      <c r="K549" t="s">
        <v>3516</v>
      </c>
    </row>
    <row r="550" spans="1:11">
      <c r="A550" s="380" t="s">
        <v>1664</v>
      </c>
      <c r="B550" t="s">
        <v>1665</v>
      </c>
      <c r="C550" s="380"/>
      <c r="D550" s="380" t="str">
        <f t="shared" si="12"/>
        <v>NACE G - 46.42 Wholesale of clothing and footwear</v>
      </c>
      <c r="K550" t="s">
        <v>3517</v>
      </c>
    </row>
    <row r="551" spans="1:11">
      <c r="A551" s="380" t="s">
        <v>1666</v>
      </c>
      <c r="B551" t="s">
        <v>1667</v>
      </c>
      <c r="C551" s="380"/>
      <c r="D551" s="380" t="str">
        <f t="shared" si="12"/>
        <v>NACE G - 46.43 Wholesale of electrical household appliances</v>
      </c>
      <c r="K551" t="s">
        <v>3518</v>
      </c>
    </row>
    <row r="552" spans="1:11">
      <c r="A552" s="380" t="s">
        <v>1668</v>
      </c>
      <c r="B552" t="s">
        <v>1669</v>
      </c>
      <c r="C552" s="380"/>
      <c r="D552" s="380" t="str">
        <f t="shared" si="12"/>
        <v>NACE G - 46.44 Wholesale of china and glassware and cleaning materials</v>
      </c>
      <c r="K552" t="s">
        <v>3519</v>
      </c>
    </row>
    <row r="553" spans="1:11">
      <c r="A553" s="380" t="s">
        <v>1670</v>
      </c>
      <c r="B553" t="s">
        <v>1671</v>
      </c>
      <c r="C553" s="380"/>
      <c r="D553" s="380" t="str">
        <f t="shared" si="12"/>
        <v>NACE G - 46.45 Wholesale of perfume and cosmetics</v>
      </c>
      <c r="K553" t="s">
        <v>3520</v>
      </c>
    </row>
    <row r="554" spans="1:11">
      <c r="A554" s="380" t="s">
        <v>1672</v>
      </c>
      <c r="B554" t="s">
        <v>1673</v>
      </c>
      <c r="C554" s="380"/>
      <c r="D554" s="380" t="str">
        <f t="shared" si="12"/>
        <v>NACE G - 46.46 Wholesale of pharmaceutical and medical goods</v>
      </c>
      <c r="K554" t="s">
        <v>3245</v>
      </c>
    </row>
    <row r="555" spans="1:11">
      <c r="A555" s="380" t="s">
        <v>1674</v>
      </c>
      <c r="B555" t="s">
        <v>1675</v>
      </c>
      <c r="C555" s="380"/>
      <c r="D555" s="380" t="str">
        <f t="shared" si="12"/>
        <v>NACE G - 46.47 Wholesale of household, office and shop furniture, carpets and lighting equipment</v>
      </c>
      <c r="K555" t="s">
        <v>3521</v>
      </c>
    </row>
    <row r="556" spans="1:11">
      <c r="A556" s="380" t="s">
        <v>1676</v>
      </c>
      <c r="B556" t="s">
        <v>1677</v>
      </c>
      <c r="C556" s="380"/>
      <c r="D556" s="380" t="str">
        <f t="shared" si="12"/>
        <v>NACE G - 46.48 Wholesale of watches and jewellery</v>
      </c>
      <c r="K556" t="s">
        <v>3522</v>
      </c>
    </row>
    <row r="557" spans="1:11">
      <c r="A557" s="380" t="s">
        <v>1678</v>
      </c>
      <c r="B557" t="s">
        <v>1679</v>
      </c>
      <c r="C557" s="380"/>
      <c r="D557" s="380" t="str">
        <f t="shared" si="12"/>
        <v>NACE G - 46.49 Wholesale of other household goods</v>
      </c>
      <c r="K557" t="s">
        <v>3523</v>
      </c>
    </row>
    <row r="558" spans="1:11">
      <c r="A558" s="379" t="s">
        <v>1680</v>
      </c>
      <c r="B558" t="s">
        <v>1681</v>
      </c>
      <c r="C558" s="380"/>
      <c r="D558" s="379" t="str">
        <f t="shared" si="12"/>
        <v>NACE G - 46.5 Wholesale of information and communication equipment</v>
      </c>
      <c r="K558" t="s">
        <v>3246</v>
      </c>
    </row>
    <row r="559" spans="1:11">
      <c r="A559" s="380" t="s">
        <v>1682</v>
      </c>
      <c r="B559" t="s">
        <v>1683</v>
      </c>
      <c r="C559" s="380"/>
      <c r="D559" s="380" t="str">
        <f t="shared" si="12"/>
        <v>NACE G - 46.50 Wholesale of information and communication equipment</v>
      </c>
      <c r="K559" t="s">
        <v>3524</v>
      </c>
    </row>
    <row r="560" spans="1:11">
      <c r="A560" s="379" t="s">
        <v>1684</v>
      </c>
      <c r="B560" t="s">
        <v>1685</v>
      </c>
      <c r="C560" s="380"/>
      <c r="D560" s="379" t="str">
        <f t="shared" si="12"/>
        <v>NACE G - 46.6 Wholesale of other machinery, equipment and supplies</v>
      </c>
      <c r="K560" t="s">
        <v>3525</v>
      </c>
    </row>
    <row r="561" spans="1:11">
      <c r="A561" s="380" t="s">
        <v>1686</v>
      </c>
      <c r="B561" t="s">
        <v>1687</v>
      </c>
      <c r="C561" s="380"/>
      <c r="D561" s="380" t="str">
        <f t="shared" si="12"/>
        <v>NACE G - 46.61 Wholesale of agricultural machinery, equipment and supplies</v>
      </c>
      <c r="K561" t="s">
        <v>3526</v>
      </c>
    </row>
    <row r="562" spans="1:11">
      <c r="A562" s="380" t="s">
        <v>1688</v>
      </c>
      <c r="B562" t="s">
        <v>1689</v>
      </c>
      <c r="C562" s="380"/>
      <c r="D562" s="380" t="str">
        <f t="shared" si="12"/>
        <v>NACE G - 46.62 Wholesale of machine tools</v>
      </c>
      <c r="K562" t="s">
        <v>3527</v>
      </c>
    </row>
    <row r="563" spans="1:11">
      <c r="A563" s="380" t="s">
        <v>1690</v>
      </c>
      <c r="B563" t="s">
        <v>1691</v>
      </c>
      <c r="C563" s="380"/>
      <c r="D563" s="380" t="str">
        <f t="shared" si="12"/>
        <v>NACE G - 46.63 Wholesale of mining, construction and civil engineering machinery</v>
      </c>
      <c r="K563" t="s">
        <v>3528</v>
      </c>
    </row>
    <row r="564" spans="1:11">
      <c r="A564" s="380" t="s">
        <v>1692</v>
      </c>
      <c r="B564" t="s">
        <v>1693</v>
      </c>
      <c r="C564" s="380"/>
      <c r="D564" s="380" t="str">
        <f t="shared" si="12"/>
        <v>NACE G - 46.64 Wholesale of other machinery and equipment</v>
      </c>
      <c r="K564" t="s">
        <v>3247</v>
      </c>
    </row>
    <row r="565" spans="1:11">
      <c r="A565" s="379" t="s">
        <v>1694</v>
      </c>
      <c r="B565" t="s">
        <v>1695</v>
      </c>
      <c r="C565" s="380"/>
      <c r="D565" s="379" t="str">
        <f t="shared" si="12"/>
        <v>NACE G - 46.7 Wholesale of motor vehicles, motorcycles and related parts and accessories</v>
      </c>
      <c r="K565" t="s">
        <v>3529</v>
      </c>
    </row>
    <row r="566" spans="1:11">
      <c r="A566" s="380" t="s">
        <v>1696</v>
      </c>
      <c r="B566" t="s">
        <v>1697</v>
      </c>
      <c r="C566" s="380"/>
      <c r="D566" s="380" t="str">
        <f t="shared" si="12"/>
        <v>NACE G - 46.71 Wholesale of motor vehicles</v>
      </c>
      <c r="K566" t="s">
        <v>3530</v>
      </c>
    </row>
    <row r="567" spans="1:11">
      <c r="A567" s="380" t="s">
        <v>1698</v>
      </c>
      <c r="B567" t="s">
        <v>1699</v>
      </c>
      <c r="C567" s="380"/>
      <c r="D567" s="380" t="str">
        <f t="shared" si="12"/>
        <v>NACE G - 46.72 Wholesale of motor vehicle parts and accessories</v>
      </c>
      <c r="K567" t="s">
        <v>3248</v>
      </c>
    </row>
    <row r="568" spans="1:11">
      <c r="A568" s="380" t="s">
        <v>1700</v>
      </c>
      <c r="B568" t="s">
        <v>1701</v>
      </c>
      <c r="C568" s="380"/>
      <c r="D568" s="380" t="str">
        <f t="shared" si="12"/>
        <v>NACE G - 46.73 Wholesale of motorcycles, motorcycle parts and accessories</v>
      </c>
      <c r="K568" t="s">
        <v>3531</v>
      </c>
    </row>
    <row r="569" spans="1:11">
      <c r="A569" s="379" t="s">
        <v>1702</v>
      </c>
      <c r="B569" t="s">
        <v>1703</v>
      </c>
      <c r="C569" s="380"/>
      <c r="D569" s="379" t="str">
        <f t="shared" si="12"/>
        <v>NACE G - 46.8 Other specialised wholesale</v>
      </c>
      <c r="K569" t="s">
        <v>3532</v>
      </c>
    </row>
    <row r="570" spans="1:11">
      <c r="A570" s="380" t="s">
        <v>1704</v>
      </c>
      <c r="B570" t="s">
        <v>1705</v>
      </c>
      <c r="C570" s="380"/>
      <c r="D570" s="380" t="str">
        <f t="shared" si="12"/>
        <v>NACE G - 46.81 Wholesale of solid, liquid and gaseous fuels and related products</v>
      </c>
      <c r="K570" t="s">
        <v>3533</v>
      </c>
    </row>
    <row r="571" spans="1:11">
      <c r="A571" s="380" t="s">
        <v>1706</v>
      </c>
      <c r="B571" t="s">
        <v>1707</v>
      </c>
      <c r="C571" s="380"/>
      <c r="D571" s="380" t="str">
        <f t="shared" si="12"/>
        <v>NACE G - 46.82 Wholesale of metals and metal ores</v>
      </c>
      <c r="K571" t="s">
        <v>3534</v>
      </c>
    </row>
    <row r="572" spans="1:11">
      <c r="A572" s="380" t="s">
        <v>1708</v>
      </c>
      <c r="B572" t="s">
        <v>1709</v>
      </c>
      <c r="C572" s="380"/>
      <c r="D572" s="380" t="str">
        <f t="shared" si="12"/>
        <v>NACE G - 46.83 Wholesale of wood, construction materials and sanitary equipment</v>
      </c>
      <c r="K572" t="s">
        <v>3535</v>
      </c>
    </row>
    <row r="573" spans="1:11">
      <c r="A573" s="380" t="s">
        <v>1710</v>
      </c>
      <c r="B573" t="s">
        <v>1711</v>
      </c>
      <c r="C573" s="380"/>
      <c r="D573" s="380" t="str">
        <f t="shared" si="12"/>
        <v>NACE G - 46.84 Wholesale of hardware, plumbing and heating equipment and supplies</v>
      </c>
      <c r="K573" t="s">
        <v>3536</v>
      </c>
    </row>
    <row r="574" spans="1:11">
      <c r="A574" s="380" t="s">
        <v>1712</v>
      </c>
      <c r="B574" t="s">
        <v>1713</v>
      </c>
      <c r="C574" s="380"/>
      <c r="D574" s="380" t="str">
        <f t="shared" si="12"/>
        <v>NACE G - 46.85 Wholesale of chemical products</v>
      </c>
      <c r="K574" t="s">
        <v>3537</v>
      </c>
    </row>
    <row r="575" spans="1:11">
      <c r="A575" s="380" t="s">
        <v>1714</v>
      </c>
      <c r="B575" t="s">
        <v>1715</v>
      </c>
      <c r="C575" s="380"/>
      <c r="D575" s="380" t="str">
        <f t="shared" si="12"/>
        <v>NACE G - 46.86 Wholesale of other intermediate products</v>
      </c>
      <c r="K575" t="s">
        <v>3249</v>
      </c>
    </row>
    <row r="576" spans="1:11">
      <c r="A576" s="380" t="s">
        <v>1716</v>
      </c>
      <c r="B576" t="s">
        <v>1717</v>
      </c>
      <c r="C576" s="380"/>
      <c r="D576" s="380" t="str">
        <f t="shared" si="12"/>
        <v>NACE G - 46.87 Wholesale of waste and scrap</v>
      </c>
      <c r="K576" t="s">
        <v>3538</v>
      </c>
    </row>
    <row r="577" spans="1:11">
      <c r="A577" s="380" t="s">
        <v>1718</v>
      </c>
      <c r="B577" t="s">
        <v>1719</v>
      </c>
      <c r="C577" s="380"/>
      <c r="D577" s="380" t="str">
        <f t="shared" si="12"/>
        <v>NACE G - 46.89 Other specialised wholesale n.e.c.</v>
      </c>
      <c r="K577" t="s">
        <v>3539</v>
      </c>
    </row>
    <row r="578" spans="1:11">
      <c r="A578" s="379" t="s">
        <v>1720</v>
      </c>
      <c r="B578" t="s">
        <v>1721</v>
      </c>
      <c r="C578" s="380"/>
      <c r="D578" s="379" t="str">
        <f t="shared" ref="D578:D641" si="13">_xlfn.CONCAT("NACE ", A578)</f>
        <v>NACE G - 46.9 Non-specialised wholesale trade</v>
      </c>
      <c r="K578" t="s">
        <v>3540</v>
      </c>
    </row>
    <row r="579" spans="1:11">
      <c r="A579" s="380" t="s">
        <v>1722</v>
      </c>
      <c r="B579" t="s">
        <v>1723</v>
      </c>
      <c r="C579" s="380"/>
      <c r="D579" s="380" t="str">
        <f t="shared" si="13"/>
        <v>NACE G - 46.90 Non-specialised wholesale trade</v>
      </c>
      <c r="K579" t="s">
        <v>3541</v>
      </c>
    </row>
    <row r="580" spans="1:11">
      <c r="A580" s="376" t="s">
        <v>1724</v>
      </c>
      <c r="B580" t="s">
        <v>1725</v>
      </c>
      <c r="C580" s="380"/>
      <c r="D580" s="376" t="str">
        <f t="shared" si="13"/>
        <v>NACE G - 47 Retail trade</v>
      </c>
      <c r="K580" t="s">
        <v>3250</v>
      </c>
    </row>
    <row r="581" spans="1:11">
      <c r="A581" s="379" t="s">
        <v>1726</v>
      </c>
      <c r="B581" t="s">
        <v>1727</v>
      </c>
      <c r="C581" s="380"/>
      <c r="D581" s="379" t="str">
        <f t="shared" si="13"/>
        <v>NACE G - 47.1 Non-specialised retail sale</v>
      </c>
      <c r="K581" t="s">
        <v>3542</v>
      </c>
    </row>
    <row r="582" spans="1:11">
      <c r="A582" s="380" t="s">
        <v>1728</v>
      </c>
      <c r="B582" t="s">
        <v>1729</v>
      </c>
      <c r="C582" s="380"/>
      <c r="D582" s="380" t="str">
        <f t="shared" si="13"/>
        <v>NACE G - 47.11 Non-specialised retail sale of predominately food, beverages or tobacco</v>
      </c>
      <c r="K582" t="s">
        <v>3543</v>
      </c>
    </row>
    <row r="583" spans="1:11">
      <c r="A583" s="380" t="s">
        <v>1730</v>
      </c>
      <c r="B583" t="s">
        <v>1731</v>
      </c>
      <c r="C583" s="380"/>
      <c r="D583" s="380" t="str">
        <f t="shared" si="13"/>
        <v>NACE G - 47.12 Other non-specialised retail sale</v>
      </c>
      <c r="K583" t="s">
        <v>3544</v>
      </c>
    </row>
    <row r="584" spans="1:11">
      <c r="A584" s="379" t="s">
        <v>1732</v>
      </c>
      <c r="B584" t="s">
        <v>1733</v>
      </c>
      <c r="C584" s="380"/>
      <c r="D584" s="379" t="str">
        <f t="shared" si="13"/>
        <v>NACE G - 47.2 Retail sale of food, beverages and tobacco</v>
      </c>
      <c r="K584" t="s">
        <v>3545</v>
      </c>
    </row>
    <row r="585" spans="1:11">
      <c r="A585" s="380" t="s">
        <v>1734</v>
      </c>
      <c r="B585" t="s">
        <v>1735</v>
      </c>
      <c r="C585" s="380"/>
      <c r="D585" s="380" t="str">
        <f t="shared" si="13"/>
        <v>NACE G - 47.21 Retail sale of fruit and vegetables</v>
      </c>
      <c r="K585" t="s">
        <v>3546</v>
      </c>
    </row>
    <row r="586" spans="1:11">
      <c r="A586" s="380" t="s">
        <v>1736</v>
      </c>
      <c r="B586" t="s">
        <v>1737</v>
      </c>
      <c r="C586" s="380"/>
      <c r="D586" s="380" t="str">
        <f t="shared" si="13"/>
        <v>NACE G - 47.22 Retail sale of meat and meat products</v>
      </c>
      <c r="K586" t="s">
        <v>3251</v>
      </c>
    </row>
    <row r="587" spans="1:11">
      <c r="A587" s="380" t="s">
        <v>1738</v>
      </c>
      <c r="B587" t="s">
        <v>1739</v>
      </c>
      <c r="C587" s="380"/>
      <c r="D587" s="380" t="str">
        <f t="shared" si="13"/>
        <v>NACE G - 47.23 Retail sale of fish, crustaceans and molluscs</v>
      </c>
      <c r="K587" t="s">
        <v>3547</v>
      </c>
    </row>
    <row r="588" spans="1:11">
      <c r="A588" s="380" t="s">
        <v>1740</v>
      </c>
      <c r="B588" t="s">
        <v>1741</v>
      </c>
      <c r="C588" s="380"/>
      <c r="D588" s="380" t="str">
        <f t="shared" si="13"/>
        <v>NACE G - 47.24 Retail sale of bread, cake and confectionery</v>
      </c>
      <c r="K588" t="s">
        <v>3548</v>
      </c>
    </row>
    <row r="589" spans="1:11">
      <c r="A589" s="380" t="s">
        <v>1742</v>
      </c>
      <c r="B589" t="s">
        <v>1743</v>
      </c>
      <c r="C589" s="380"/>
      <c r="D589" s="380" t="str">
        <f t="shared" si="13"/>
        <v>NACE G - 47.25 Retail sale of beverages</v>
      </c>
      <c r="K589" t="s">
        <v>3549</v>
      </c>
    </row>
    <row r="590" spans="1:11">
      <c r="A590" s="380" t="s">
        <v>1744</v>
      </c>
      <c r="B590" t="s">
        <v>1745</v>
      </c>
      <c r="C590" s="380"/>
      <c r="D590" s="380" t="str">
        <f t="shared" si="13"/>
        <v>NACE G - 47.26 Retail sale of tobacco products</v>
      </c>
      <c r="K590" t="s">
        <v>3550</v>
      </c>
    </row>
    <row r="591" spans="1:11">
      <c r="A591" s="380" t="s">
        <v>1746</v>
      </c>
      <c r="B591" t="s">
        <v>1747</v>
      </c>
      <c r="C591" s="380"/>
      <c r="D591" s="380" t="str">
        <f t="shared" si="13"/>
        <v>NACE G - 47.27 Retail sale of other food</v>
      </c>
      <c r="K591" t="s">
        <v>3551</v>
      </c>
    </row>
    <row r="592" spans="1:11">
      <c r="A592" s="379" t="s">
        <v>1748</v>
      </c>
      <c r="B592" t="s">
        <v>1749</v>
      </c>
      <c r="C592" s="380"/>
      <c r="D592" s="379" t="str">
        <f t="shared" si="13"/>
        <v>NACE G - 47.3 Retail sale of automotive fuel</v>
      </c>
      <c r="K592" t="s">
        <v>3252</v>
      </c>
    </row>
    <row r="593" spans="1:11">
      <c r="A593" s="380" t="s">
        <v>1750</v>
      </c>
      <c r="B593" t="s">
        <v>1751</v>
      </c>
      <c r="C593" s="380"/>
      <c r="D593" s="380" t="str">
        <f t="shared" si="13"/>
        <v>NACE G - 47.30 Retail sale of automotive fuel</v>
      </c>
      <c r="K593" t="s">
        <v>3064</v>
      </c>
    </row>
    <row r="594" spans="1:11">
      <c r="A594" s="379" t="s">
        <v>1752</v>
      </c>
      <c r="B594" t="s">
        <v>1753</v>
      </c>
      <c r="C594" s="380"/>
      <c r="D594" s="379" t="str">
        <f t="shared" si="13"/>
        <v>NACE G - 47.4 Retail sale of information and communication equipment</v>
      </c>
      <c r="K594" t="s">
        <v>3065</v>
      </c>
    </row>
    <row r="595" spans="1:11">
      <c r="A595" s="380" t="s">
        <v>1754</v>
      </c>
      <c r="B595" t="s">
        <v>1755</v>
      </c>
      <c r="C595" s="380"/>
      <c r="D595" s="380" t="str">
        <f t="shared" si="13"/>
        <v>NACE G - 47.40 Retail sale of information and communication equipment</v>
      </c>
      <c r="K595" t="s">
        <v>3066</v>
      </c>
    </row>
    <row r="596" spans="1:11">
      <c r="A596" s="379" t="s">
        <v>1756</v>
      </c>
      <c r="B596" t="s">
        <v>1757</v>
      </c>
      <c r="C596" s="380"/>
      <c r="D596" s="379" t="str">
        <f t="shared" si="13"/>
        <v>NACE G - 47.5 Retail sale of other household equipment</v>
      </c>
      <c r="K596" t="s">
        <v>3067</v>
      </c>
    </row>
    <row r="597" spans="1:11">
      <c r="A597" s="380" t="s">
        <v>1758</v>
      </c>
      <c r="B597" t="s">
        <v>1759</v>
      </c>
      <c r="C597" s="380"/>
      <c r="D597" s="380" t="str">
        <f t="shared" si="13"/>
        <v>NACE G - 47.51 Retail sale of textiles</v>
      </c>
      <c r="K597" t="s">
        <v>3068</v>
      </c>
    </row>
    <row r="598" spans="1:11">
      <c r="A598" s="380" t="s">
        <v>1760</v>
      </c>
      <c r="B598" t="s">
        <v>1761</v>
      </c>
      <c r="C598" s="380"/>
      <c r="D598" s="380" t="str">
        <f t="shared" si="13"/>
        <v>NACE G - 47.52 Retail sale of hardware, building materials, paints and glass</v>
      </c>
      <c r="K598" t="s">
        <v>2766</v>
      </c>
    </row>
    <row r="599" spans="1:11">
      <c r="A599" s="380" t="s">
        <v>1762</v>
      </c>
      <c r="B599" t="s">
        <v>1763</v>
      </c>
      <c r="C599" s="380"/>
      <c r="D599" s="380" t="str">
        <f t="shared" si="13"/>
        <v>NACE G - 47.53 Retail sale of carpets, rugs, wall and floor coverings</v>
      </c>
      <c r="K599" t="s">
        <v>3253</v>
      </c>
    </row>
    <row r="600" spans="1:11">
      <c r="A600" s="380" t="s">
        <v>1764</v>
      </c>
      <c r="B600" t="s">
        <v>1765</v>
      </c>
      <c r="C600" s="380"/>
      <c r="D600" s="380" t="str">
        <f t="shared" si="13"/>
        <v>NACE G - 47.54 Retail sale of electrical household appliances</v>
      </c>
      <c r="K600" t="s">
        <v>3069</v>
      </c>
    </row>
    <row r="601" spans="1:11">
      <c r="A601" s="380" t="s">
        <v>1766</v>
      </c>
      <c r="B601" t="s">
        <v>1767</v>
      </c>
      <c r="C601" s="380"/>
      <c r="D601" s="380" t="str">
        <f t="shared" si="13"/>
        <v>NACE G - 47.55 Retail sale of furniture, lighting equipment, tableware and other household goods</v>
      </c>
      <c r="K601" t="s">
        <v>3070</v>
      </c>
    </row>
    <row r="602" spans="1:11">
      <c r="A602" s="379" t="s">
        <v>1768</v>
      </c>
      <c r="B602" t="s">
        <v>1769</v>
      </c>
      <c r="C602" s="380"/>
      <c r="D602" s="379" t="str">
        <f t="shared" si="13"/>
        <v>NACE G - 47.6 Retail sale of cultural and recreation goods</v>
      </c>
      <c r="K602" t="s">
        <v>3071</v>
      </c>
    </row>
    <row r="603" spans="1:11">
      <c r="A603" s="380" t="s">
        <v>1770</v>
      </c>
      <c r="B603" t="s">
        <v>1771</v>
      </c>
      <c r="C603" s="380"/>
      <c r="D603" s="380" t="str">
        <f t="shared" si="13"/>
        <v>NACE G - 47.61 Retail sale of books</v>
      </c>
      <c r="K603" t="s">
        <v>3072</v>
      </c>
    </row>
    <row r="604" spans="1:11">
      <c r="A604" s="380" t="s">
        <v>1772</v>
      </c>
      <c r="B604" t="s">
        <v>1773</v>
      </c>
      <c r="C604" s="380"/>
      <c r="D604" s="380" t="str">
        <f t="shared" si="13"/>
        <v>NACE G - 47.62 Retail sale of newspapers, and other periodical publications and stationery</v>
      </c>
      <c r="K604" t="s">
        <v>3073</v>
      </c>
    </row>
    <row r="605" spans="1:11">
      <c r="A605" s="380" t="s">
        <v>1774</v>
      </c>
      <c r="B605" t="s">
        <v>1775</v>
      </c>
      <c r="C605" s="380"/>
      <c r="D605" s="380" t="str">
        <f t="shared" si="13"/>
        <v>NACE G - 47.63 Retail sale of sporting equipment</v>
      </c>
      <c r="K605" t="s">
        <v>3074</v>
      </c>
    </row>
    <row r="606" spans="1:11">
      <c r="A606" s="380" t="s">
        <v>1776</v>
      </c>
      <c r="B606" t="s">
        <v>1777</v>
      </c>
      <c r="C606" s="380"/>
      <c r="D606" s="380" t="str">
        <f t="shared" si="13"/>
        <v>NACE G - 47.64 Retail sale of games and toys</v>
      </c>
      <c r="K606" t="s">
        <v>3075</v>
      </c>
    </row>
    <row r="607" spans="1:11">
      <c r="A607" s="380" t="s">
        <v>1778</v>
      </c>
      <c r="B607" t="s">
        <v>1779</v>
      </c>
      <c r="C607" s="380"/>
      <c r="D607" s="380" t="str">
        <f t="shared" si="13"/>
        <v>NACE G - 47.69 Retail sale of cultural and recreational goods n.e.c.</v>
      </c>
      <c r="K607" t="s">
        <v>3552</v>
      </c>
    </row>
    <row r="608" spans="1:11">
      <c r="A608" s="379" t="s">
        <v>1780</v>
      </c>
      <c r="B608" t="s">
        <v>1781</v>
      </c>
      <c r="C608" s="380"/>
      <c r="D608" s="379" t="str">
        <f t="shared" si="13"/>
        <v>NACE G - 47.7 Retail sale of other goods, except motor vehicles and motorcycles</v>
      </c>
      <c r="K608" t="s">
        <v>3254</v>
      </c>
    </row>
    <row r="609" spans="1:11">
      <c r="A609" s="380" t="s">
        <v>1782</v>
      </c>
      <c r="B609" t="s">
        <v>1783</v>
      </c>
      <c r="C609" s="380"/>
      <c r="D609" s="380" t="str">
        <f t="shared" si="13"/>
        <v>NACE G - 47.71 Retail sale of clothing</v>
      </c>
      <c r="K609" t="s">
        <v>3553</v>
      </c>
    </row>
    <row r="610" spans="1:11">
      <c r="A610" s="380" t="s">
        <v>1784</v>
      </c>
      <c r="B610" t="s">
        <v>1785</v>
      </c>
      <c r="C610" s="380"/>
      <c r="D610" s="380" t="str">
        <f t="shared" si="13"/>
        <v>NACE G - 47.72 Retail sale of footwear and leather goods</v>
      </c>
      <c r="K610" t="s">
        <v>3076</v>
      </c>
    </row>
    <row r="611" spans="1:11">
      <c r="A611" s="380" t="s">
        <v>1786</v>
      </c>
      <c r="B611" t="s">
        <v>1787</v>
      </c>
      <c r="C611" s="380"/>
      <c r="D611" s="380" t="str">
        <f t="shared" si="13"/>
        <v>NACE G - 47.73 Retail sale of pharmaceutical products</v>
      </c>
      <c r="K611" t="s">
        <v>2767</v>
      </c>
    </row>
    <row r="612" spans="1:11">
      <c r="A612" s="380" t="s">
        <v>1788</v>
      </c>
      <c r="B612" t="s">
        <v>1789</v>
      </c>
      <c r="C612" s="380"/>
      <c r="D612" s="380" t="str">
        <f t="shared" si="13"/>
        <v>NACE G - 47.74 Retail sale of medical and orthopaedic goods</v>
      </c>
      <c r="K612" t="s">
        <v>3255</v>
      </c>
    </row>
    <row r="613" spans="1:11">
      <c r="A613" s="380" t="s">
        <v>1790</v>
      </c>
      <c r="B613" t="s">
        <v>1791</v>
      </c>
      <c r="C613" s="380"/>
      <c r="D613" s="380" t="str">
        <f t="shared" si="13"/>
        <v>NACE G - 47.75 Retail sale of cosmetic and toilet articles</v>
      </c>
      <c r="K613" t="s">
        <v>3077</v>
      </c>
    </row>
    <row r="614" spans="1:11">
      <c r="A614" s="380" t="s">
        <v>1792</v>
      </c>
      <c r="B614" t="s">
        <v>1793</v>
      </c>
      <c r="C614" s="380"/>
      <c r="D614" s="380" t="str">
        <f t="shared" si="13"/>
        <v>NACE G - 47.76 Retail sale of flowers, plants, fertilisers, pets and pet food</v>
      </c>
      <c r="K614" t="s">
        <v>3078</v>
      </c>
    </row>
    <row r="615" spans="1:11">
      <c r="A615" s="380" t="s">
        <v>1794</v>
      </c>
      <c r="B615" t="s">
        <v>1795</v>
      </c>
      <c r="C615" s="380"/>
      <c r="D615" s="380" t="str">
        <f t="shared" si="13"/>
        <v>NACE G - 47.77 Retail sale of watches and jewellery</v>
      </c>
      <c r="K615" t="s">
        <v>3079</v>
      </c>
    </row>
    <row r="616" spans="1:11">
      <c r="A616" s="380" t="s">
        <v>1796</v>
      </c>
      <c r="B616" t="s">
        <v>1797</v>
      </c>
      <c r="C616" s="380"/>
      <c r="D616" s="380" t="str">
        <f t="shared" si="13"/>
        <v>NACE G - 47.78 Retail sale of other new goods</v>
      </c>
      <c r="K616" t="s">
        <v>3080</v>
      </c>
    </row>
    <row r="617" spans="1:11">
      <c r="A617" s="380" t="s">
        <v>1798</v>
      </c>
      <c r="B617" t="s">
        <v>1799</v>
      </c>
      <c r="C617" s="380"/>
      <c r="D617" s="380" t="str">
        <f t="shared" si="13"/>
        <v>NACE G - 47.79 Retail sale of second-hand goods</v>
      </c>
      <c r="K617" t="s">
        <v>3256</v>
      </c>
    </row>
    <row r="618" spans="1:11">
      <c r="A618" s="379" t="s">
        <v>1800</v>
      </c>
      <c r="B618" t="s">
        <v>1801</v>
      </c>
      <c r="C618" s="380"/>
      <c r="D618" s="379" t="str">
        <f t="shared" si="13"/>
        <v>NACE G - 47.8 Retail sale of motor vehicles, motorcycles and related parts and accessories</v>
      </c>
      <c r="K618" t="s">
        <v>3554</v>
      </c>
    </row>
    <row r="619" spans="1:11">
      <c r="A619" s="380" t="s">
        <v>1802</v>
      </c>
      <c r="B619" t="s">
        <v>1803</v>
      </c>
      <c r="C619" s="380"/>
      <c r="D619" s="380" t="str">
        <f t="shared" si="13"/>
        <v>NACE G - 47.81 Retail sale of motor vehicles</v>
      </c>
      <c r="K619" t="s">
        <v>3555</v>
      </c>
    </row>
    <row r="620" spans="1:11">
      <c r="A620" s="380" t="s">
        <v>1804</v>
      </c>
      <c r="B620" t="s">
        <v>1805</v>
      </c>
      <c r="C620" s="380"/>
      <c r="D620" s="380" t="str">
        <f t="shared" si="13"/>
        <v>NACE G - 47.82 Retail sale of motor vehicle parts and accessories</v>
      </c>
      <c r="K620" t="s">
        <v>3556</v>
      </c>
    </row>
    <row r="621" spans="1:11">
      <c r="A621" s="380" t="s">
        <v>1806</v>
      </c>
      <c r="B621" t="s">
        <v>1807</v>
      </c>
      <c r="C621" s="380"/>
      <c r="D621" s="380" t="str">
        <f t="shared" si="13"/>
        <v>NACE G - 47.83 Retail sale of motorcycles, motorcycle parts and accessories</v>
      </c>
      <c r="K621" t="s">
        <v>3557</v>
      </c>
    </row>
    <row r="622" spans="1:11">
      <c r="A622" s="379" t="s">
        <v>1808</v>
      </c>
      <c r="B622" t="s">
        <v>1809</v>
      </c>
      <c r="C622" s="380"/>
      <c r="D622" s="379" t="str">
        <f t="shared" si="13"/>
        <v>NACE G - 47.9 Intermediation service activities for retail sale</v>
      </c>
      <c r="K622" t="s">
        <v>3558</v>
      </c>
    </row>
    <row r="623" spans="1:11">
      <c r="A623" s="380" t="s">
        <v>1810</v>
      </c>
      <c r="B623" t="s">
        <v>1811</v>
      </c>
      <c r="C623" s="380"/>
      <c r="D623" s="380" t="str">
        <f t="shared" si="13"/>
        <v>NACE G - 47.91 Intermediation service activities for non-specialised retail sale</v>
      </c>
      <c r="K623" t="s">
        <v>3081</v>
      </c>
    </row>
    <row r="624" spans="1:11">
      <c r="A624" s="380" t="s">
        <v>1812</v>
      </c>
      <c r="B624" t="s">
        <v>1813</v>
      </c>
      <c r="C624" s="380"/>
      <c r="D624" s="380" t="str">
        <f t="shared" si="13"/>
        <v>NACE G - 47.92 Intermediation service activities for specialised retail sale</v>
      </c>
      <c r="K624" t="s">
        <v>3559</v>
      </c>
    </row>
    <row r="625" spans="1:11">
      <c r="A625" s="377" t="s">
        <v>1814</v>
      </c>
      <c r="B625" t="s">
        <v>1815</v>
      </c>
      <c r="C625" s="380"/>
      <c r="D625" s="377" t="str">
        <f t="shared" si="13"/>
        <v>NACE H - TRANSPORTATION AND STORAGE</v>
      </c>
      <c r="K625" t="s">
        <v>3082</v>
      </c>
    </row>
    <row r="626" spans="1:11">
      <c r="A626" s="376" t="s">
        <v>1816</v>
      </c>
      <c r="B626" t="s">
        <v>1817</v>
      </c>
      <c r="C626" s="380"/>
      <c r="D626" s="376" t="str">
        <f t="shared" si="13"/>
        <v>NACE H - 49 Land transport and transport via pipelines</v>
      </c>
      <c r="K626" t="s">
        <v>3257</v>
      </c>
    </row>
    <row r="627" spans="1:11">
      <c r="A627" s="379" t="s">
        <v>1818</v>
      </c>
      <c r="B627" t="s">
        <v>1819</v>
      </c>
      <c r="C627" s="380"/>
      <c r="D627" s="379" t="str">
        <f t="shared" si="13"/>
        <v>NACE H - 49.1 Passenger rail transport</v>
      </c>
      <c r="K627" t="s">
        <v>3083</v>
      </c>
    </row>
    <row r="628" spans="1:11">
      <c r="A628" s="380" t="s">
        <v>1820</v>
      </c>
      <c r="B628" t="s">
        <v>1821</v>
      </c>
      <c r="C628" s="380"/>
      <c r="D628" s="380" t="str">
        <f t="shared" si="13"/>
        <v>NACE H - 49.11 Passenger heavy rail transport</v>
      </c>
      <c r="K628" t="s">
        <v>3084</v>
      </c>
    </row>
    <row r="629" spans="1:11">
      <c r="A629" s="380" t="s">
        <v>1822</v>
      </c>
      <c r="B629" t="s">
        <v>1823</v>
      </c>
      <c r="C629" s="380"/>
      <c r="D629" s="380" t="str">
        <f t="shared" si="13"/>
        <v>NACE H - 49.12 Other passenger rail transport</v>
      </c>
      <c r="K629" t="s">
        <v>3258</v>
      </c>
    </row>
    <row r="630" spans="1:11">
      <c r="A630" s="379" t="s">
        <v>1824</v>
      </c>
      <c r="B630" t="s">
        <v>1825</v>
      </c>
      <c r="C630" s="380"/>
      <c r="D630" s="379" t="str">
        <f t="shared" si="13"/>
        <v>NACE H - 49.2 Freight rail transport</v>
      </c>
      <c r="K630" t="s">
        <v>3560</v>
      </c>
    </row>
    <row r="631" spans="1:11">
      <c r="A631" s="380" t="s">
        <v>1826</v>
      </c>
      <c r="B631" t="s">
        <v>1827</v>
      </c>
      <c r="C631" s="380"/>
      <c r="D631" s="380" t="str">
        <f t="shared" si="13"/>
        <v>NACE H - 49.20 Freight rail transport</v>
      </c>
      <c r="K631" t="s">
        <v>3561</v>
      </c>
    </row>
    <row r="632" spans="1:11">
      <c r="A632" s="379" t="s">
        <v>1828</v>
      </c>
      <c r="B632" t="s">
        <v>1829</v>
      </c>
      <c r="C632" s="380"/>
      <c r="D632" s="379" t="str">
        <f t="shared" si="13"/>
        <v>NACE H - 49.3 Other passenger land transport</v>
      </c>
      <c r="K632" t="s">
        <v>3562</v>
      </c>
    </row>
    <row r="633" spans="1:11">
      <c r="A633" s="380" t="s">
        <v>1830</v>
      </c>
      <c r="B633" t="s">
        <v>1831</v>
      </c>
      <c r="C633" s="380"/>
      <c r="D633" s="380" t="str">
        <f t="shared" si="13"/>
        <v>NACE H - 49.31 Scheduled passenger transport by road</v>
      </c>
      <c r="K633" t="s">
        <v>3259</v>
      </c>
    </row>
    <row r="634" spans="1:11">
      <c r="A634" s="380" t="s">
        <v>1832</v>
      </c>
      <c r="B634" t="s">
        <v>1833</v>
      </c>
      <c r="C634" s="380"/>
      <c r="D634" s="380" t="str">
        <f t="shared" si="13"/>
        <v>NACE H - 49.32 Non-scheduled passenger transport by road</v>
      </c>
      <c r="K634" t="s">
        <v>3085</v>
      </c>
    </row>
    <row r="635" spans="1:11">
      <c r="A635" s="380" t="s">
        <v>1834</v>
      </c>
      <c r="B635" t="s">
        <v>1835</v>
      </c>
      <c r="C635" s="380"/>
      <c r="D635" s="380" t="str">
        <f t="shared" si="13"/>
        <v>NACE H - 49.33 On-demand passenger transport service activities by vehicle with driver</v>
      </c>
      <c r="K635" t="s">
        <v>3086</v>
      </c>
    </row>
    <row r="636" spans="1:11">
      <c r="A636" s="380" t="s">
        <v>1836</v>
      </c>
      <c r="B636" t="s">
        <v>1837</v>
      </c>
      <c r="C636" s="380"/>
      <c r="D636" s="380" t="str">
        <f t="shared" si="13"/>
        <v>NACE H - 49.34 Passenger transport by cableways and ski lifts</v>
      </c>
      <c r="K636" t="s">
        <v>3087</v>
      </c>
    </row>
    <row r="637" spans="1:11">
      <c r="A637" s="380" t="s">
        <v>1838</v>
      </c>
      <c r="B637" t="s">
        <v>1839</v>
      </c>
      <c r="C637" s="380"/>
      <c r="D637" s="380" t="str">
        <f t="shared" si="13"/>
        <v>NACE H - 49.39 Other passenger land transport n.e.c.</v>
      </c>
      <c r="K637" t="s">
        <v>3260</v>
      </c>
    </row>
    <row r="638" spans="1:11">
      <c r="A638" s="379" t="s">
        <v>1840</v>
      </c>
      <c r="B638" t="s">
        <v>1841</v>
      </c>
      <c r="C638" s="380"/>
      <c r="D638" s="379" t="str">
        <f t="shared" si="13"/>
        <v>NACE H - 49.4 Freight transport by road and removal services</v>
      </c>
      <c r="K638" t="s">
        <v>3563</v>
      </c>
    </row>
    <row r="639" spans="1:11">
      <c r="A639" s="380" t="s">
        <v>1842</v>
      </c>
      <c r="B639" t="s">
        <v>1843</v>
      </c>
      <c r="C639" s="380"/>
      <c r="D639" s="380" t="str">
        <f t="shared" si="13"/>
        <v>NACE H - 49.41 Freight transport by road</v>
      </c>
      <c r="K639" t="s">
        <v>3564</v>
      </c>
    </row>
    <row r="640" spans="1:11">
      <c r="A640" s="380" t="s">
        <v>1844</v>
      </c>
      <c r="B640" t="s">
        <v>1845</v>
      </c>
      <c r="C640" s="380"/>
      <c r="D640" s="380" t="str">
        <f t="shared" si="13"/>
        <v>NACE H - 49.42 Removal services</v>
      </c>
      <c r="K640" t="s">
        <v>3565</v>
      </c>
    </row>
    <row r="641" spans="1:11">
      <c r="A641" s="379" t="s">
        <v>1846</v>
      </c>
      <c r="B641" t="s">
        <v>1847</v>
      </c>
      <c r="C641" s="380"/>
      <c r="D641" s="379" t="str">
        <f t="shared" si="13"/>
        <v>NACE H - 49.5 Transport via pipeline</v>
      </c>
      <c r="K641" t="s">
        <v>3088</v>
      </c>
    </row>
    <row r="642" spans="1:11">
      <c r="A642" s="380" t="s">
        <v>1848</v>
      </c>
      <c r="B642" t="s">
        <v>1849</v>
      </c>
      <c r="C642" s="380"/>
      <c r="D642" s="380" t="str">
        <f t="shared" ref="D642:D705" si="14">_xlfn.CONCAT("NACE ", A642)</f>
        <v>NACE H - 49.50 Transport via pipeline</v>
      </c>
      <c r="K642" t="s">
        <v>3089</v>
      </c>
    </row>
    <row r="643" spans="1:11">
      <c r="A643" s="376" t="s">
        <v>1850</v>
      </c>
      <c r="B643" t="s">
        <v>1851</v>
      </c>
      <c r="C643" s="380"/>
      <c r="D643" s="376" t="str">
        <f t="shared" si="14"/>
        <v>NACE H - 50 Water transport</v>
      </c>
      <c r="K643" t="s">
        <v>3566</v>
      </c>
    </row>
    <row r="644" spans="1:11">
      <c r="A644" s="379" t="s">
        <v>1852</v>
      </c>
      <c r="B644" t="s">
        <v>1853</v>
      </c>
      <c r="C644" s="380"/>
      <c r="D644" s="379" t="str">
        <f t="shared" si="14"/>
        <v>NACE H - 50.1 Sea and coastal passenger water transport</v>
      </c>
      <c r="K644" t="s">
        <v>3261</v>
      </c>
    </row>
    <row r="645" spans="1:11">
      <c r="A645" s="380" t="s">
        <v>1854</v>
      </c>
      <c r="B645" t="s">
        <v>1855</v>
      </c>
      <c r="C645" s="380"/>
      <c r="D645" s="380" t="str">
        <f t="shared" si="14"/>
        <v>NACE H - 50.10 Sea and coastal passenger water transport</v>
      </c>
      <c r="K645" t="s">
        <v>3567</v>
      </c>
    </row>
    <row r="646" spans="1:11">
      <c r="A646" s="379" t="s">
        <v>1856</v>
      </c>
      <c r="B646" t="s">
        <v>1857</v>
      </c>
      <c r="C646" s="380"/>
      <c r="D646" s="379" t="str">
        <f t="shared" si="14"/>
        <v>NACE H - 50.2 Sea and coastal freight water transport</v>
      </c>
      <c r="K646" t="s">
        <v>3568</v>
      </c>
    </row>
    <row r="647" spans="1:11">
      <c r="A647" s="380" t="s">
        <v>1858</v>
      </c>
      <c r="B647" t="s">
        <v>1859</v>
      </c>
      <c r="C647" s="380"/>
      <c r="D647" s="380" t="str">
        <f t="shared" si="14"/>
        <v>NACE H - 50.20 Sea and coastal freight water transport</v>
      </c>
      <c r="K647" t="s">
        <v>3569</v>
      </c>
    </row>
    <row r="648" spans="1:11">
      <c r="A648" s="379" t="s">
        <v>1860</v>
      </c>
      <c r="B648" t="s">
        <v>1861</v>
      </c>
      <c r="C648" s="380"/>
      <c r="D648" s="379" t="str">
        <f t="shared" si="14"/>
        <v>NACE H - 50.3 Inland passenger water transport</v>
      </c>
      <c r="K648" t="s">
        <v>3570</v>
      </c>
    </row>
    <row r="649" spans="1:11">
      <c r="A649" s="380" t="s">
        <v>1862</v>
      </c>
      <c r="B649" t="s">
        <v>1863</v>
      </c>
      <c r="C649" s="380"/>
      <c r="D649" s="380" t="str">
        <f t="shared" si="14"/>
        <v>NACE H - 50.30 Inland passenger water transport</v>
      </c>
      <c r="K649" t="s">
        <v>3571</v>
      </c>
    </row>
    <row r="650" spans="1:11">
      <c r="A650" s="379" t="s">
        <v>1864</v>
      </c>
      <c r="B650" t="s">
        <v>1865</v>
      </c>
      <c r="C650" s="380"/>
      <c r="D650" s="379" t="str">
        <f t="shared" si="14"/>
        <v>NACE H - 50.4 Inland freight water transport</v>
      </c>
      <c r="K650" t="s">
        <v>3572</v>
      </c>
    </row>
    <row r="651" spans="1:11">
      <c r="A651" s="380" t="s">
        <v>1866</v>
      </c>
      <c r="B651" t="s">
        <v>1867</v>
      </c>
      <c r="C651" s="380"/>
      <c r="D651" s="380" t="str">
        <f t="shared" si="14"/>
        <v>NACE H - 50.40 Inland freight water transport</v>
      </c>
      <c r="K651" t="s">
        <v>3090</v>
      </c>
    </row>
    <row r="652" spans="1:11">
      <c r="A652" s="376" t="s">
        <v>1868</v>
      </c>
      <c r="B652" t="s">
        <v>1869</v>
      </c>
      <c r="C652" s="380"/>
      <c r="D652" s="376" t="str">
        <f t="shared" si="14"/>
        <v>NACE H - 51 Air transport</v>
      </c>
      <c r="K652" t="s">
        <v>3091</v>
      </c>
    </row>
    <row r="653" spans="1:11">
      <c r="A653" s="379" t="s">
        <v>1870</v>
      </c>
      <c r="B653" t="s">
        <v>1871</v>
      </c>
      <c r="C653" s="380"/>
      <c r="D653" s="379" t="str">
        <f t="shared" si="14"/>
        <v>NACE H - 51.1 Passenger air transport</v>
      </c>
      <c r="K653" t="s">
        <v>3262</v>
      </c>
    </row>
    <row r="654" spans="1:11">
      <c r="A654" s="380" t="s">
        <v>1872</v>
      </c>
      <c r="B654" t="s">
        <v>1873</v>
      </c>
      <c r="C654" s="380"/>
      <c r="D654" s="380" t="str">
        <f t="shared" si="14"/>
        <v>NACE H - 51.10 Passenger air transport</v>
      </c>
      <c r="K654" t="s">
        <v>3092</v>
      </c>
    </row>
    <row r="655" spans="1:11">
      <c r="A655" s="379" t="s">
        <v>1874</v>
      </c>
      <c r="B655" t="s">
        <v>1875</v>
      </c>
      <c r="C655" s="380"/>
      <c r="D655" s="379" t="str">
        <f t="shared" si="14"/>
        <v>NACE H - 51.2 Freight air transport and space transport</v>
      </c>
      <c r="K655" t="s">
        <v>3573</v>
      </c>
    </row>
    <row r="656" spans="1:11">
      <c r="A656" s="380" t="s">
        <v>1876</v>
      </c>
      <c r="B656" t="s">
        <v>1877</v>
      </c>
      <c r="C656" s="380"/>
      <c r="D656" s="380" t="str">
        <f t="shared" si="14"/>
        <v>NACE H - 51.21 Freight air transport</v>
      </c>
      <c r="K656" t="s">
        <v>3093</v>
      </c>
    </row>
    <row r="657" spans="1:11">
      <c r="A657" s="380" t="s">
        <v>1878</v>
      </c>
      <c r="B657" t="s">
        <v>1879</v>
      </c>
      <c r="C657" s="380"/>
      <c r="D657" s="380" t="str">
        <f t="shared" si="14"/>
        <v>NACE H - 51.22 Space transport</v>
      </c>
      <c r="K657" t="s">
        <v>3094</v>
      </c>
    </row>
    <row r="658" spans="1:11">
      <c r="A658" s="376" t="s">
        <v>1880</v>
      </c>
      <c r="B658" t="s">
        <v>1881</v>
      </c>
      <c r="C658" s="380"/>
      <c r="D658" s="376" t="str">
        <f t="shared" si="14"/>
        <v>NACE H - 52 Warehousing, storage and support activities for transportation</v>
      </c>
      <c r="K658" t="s">
        <v>3574</v>
      </c>
    </row>
    <row r="659" spans="1:11">
      <c r="A659" s="379" t="s">
        <v>1882</v>
      </c>
      <c r="B659" t="s">
        <v>1883</v>
      </c>
      <c r="C659" s="380"/>
      <c r="D659" s="379" t="str">
        <f t="shared" si="14"/>
        <v>NACE H - 52.1 Warehousing and storage</v>
      </c>
      <c r="K659" t="s">
        <v>3575</v>
      </c>
    </row>
    <row r="660" spans="1:11">
      <c r="A660" s="380" t="s">
        <v>1884</v>
      </c>
      <c r="B660" t="s">
        <v>1885</v>
      </c>
      <c r="C660" s="380"/>
      <c r="D660" s="380" t="str">
        <f t="shared" si="14"/>
        <v>NACE H - 52.10 Warehousing and storage</v>
      </c>
      <c r="K660" t="s">
        <v>3576</v>
      </c>
    </row>
    <row r="661" spans="1:11">
      <c r="A661" s="379" t="s">
        <v>1886</v>
      </c>
      <c r="B661" t="s">
        <v>1887</v>
      </c>
      <c r="C661" s="380"/>
      <c r="D661" s="379" t="str">
        <f t="shared" si="14"/>
        <v>NACE H - 52.2 Support activities for transportation</v>
      </c>
      <c r="K661" t="s">
        <v>2768</v>
      </c>
    </row>
    <row r="662" spans="1:11">
      <c r="A662" s="380" t="s">
        <v>1888</v>
      </c>
      <c r="B662" t="s">
        <v>1889</v>
      </c>
      <c r="C662" s="380"/>
      <c r="D662" s="380" t="str">
        <f t="shared" si="14"/>
        <v>NACE H - 52.21 Service activities incidental to land transportation</v>
      </c>
      <c r="K662" t="s">
        <v>3263</v>
      </c>
    </row>
    <row r="663" spans="1:11">
      <c r="A663" s="380" t="s">
        <v>1890</v>
      </c>
      <c r="B663" t="s">
        <v>1891</v>
      </c>
      <c r="C663" s="380"/>
      <c r="D663" s="380" t="str">
        <f t="shared" si="14"/>
        <v>NACE H - 52.22 Service activities incidental to water transportation</v>
      </c>
      <c r="K663" t="s">
        <v>3095</v>
      </c>
    </row>
    <row r="664" spans="1:11">
      <c r="A664" s="380" t="s">
        <v>1892</v>
      </c>
      <c r="B664" t="s">
        <v>1893</v>
      </c>
      <c r="C664" s="380"/>
      <c r="D664" s="380" t="str">
        <f t="shared" si="14"/>
        <v>NACE H - 52.23 Service activities incidental to air transportation</v>
      </c>
      <c r="K664" t="s">
        <v>3096</v>
      </c>
    </row>
    <row r="665" spans="1:11">
      <c r="A665" s="380" t="s">
        <v>1894</v>
      </c>
      <c r="B665" t="s">
        <v>1895</v>
      </c>
      <c r="C665" s="380"/>
      <c r="D665" s="380" t="str">
        <f t="shared" si="14"/>
        <v>NACE H - 52.24 Cargo handling</v>
      </c>
      <c r="K665" t="s">
        <v>3097</v>
      </c>
    </row>
    <row r="666" spans="1:11">
      <c r="A666" s="380" t="s">
        <v>1896</v>
      </c>
      <c r="B666" t="s">
        <v>1897</v>
      </c>
      <c r="C666" s="380"/>
      <c r="D666" s="380" t="str">
        <f t="shared" si="14"/>
        <v>NACE H - 52.25 Logistics service activities</v>
      </c>
      <c r="K666" t="s">
        <v>3098</v>
      </c>
    </row>
    <row r="667" spans="1:11">
      <c r="A667" s="380" t="s">
        <v>1898</v>
      </c>
      <c r="B667" t="s">
        <v>1899</v>
      </c>
      <c r="C667" s="380"/>
      <c r="D667" s="380" t="str">
        <f t="shared" si="14"/>
        <v>NACE H - 52.26 Other support activities for transportation</v>
      </c>
      <c r="K667" t="s">
        <v>3099</v>
      </c>
    </row>
    <row r="668" spans="1:11">
      <c r="A668" s="379" t="s">
        <v>1900</v>
      </c>
      <c r="B668" t="s">
        <v>1901</v>
      </c>
      <c r="C668" s="380"/>
      <c r="D668" s="379" t="str">
        <f t="shared" si="14"/>
        <v>NACE H - 52.3 Intermediation service activities for transportation</v>
      </c>
      <c r="K668" t="s">
        <v>3264</v>
      </c>
    </row>
    <row r="669" spans="1:11">
      <c r="A669" s="380" t="s">
        <v>1902</v>
      </c>
      <c r="B669" t="s">
        <v>1903</v>
      </c>
      <c r="C669" s="380"/>
      <c r="D669" s="380" t="str">
        <f t="shared" si="14"/>
        <v>NACE H - 52.31 Intermediation service activities for freight transportation</v>
      </c>
      <c r="K669" t="s">
        <v>3100</v>
      </c>
    </row>
    <row r="670" spans="1:11">
      <c r="A670" s="380" t="s">
        <v>1904</v>
      </c>
      <c r="B670" t="s">
        <v>1905</v>
      </c>
      <c r="C670" s="380"/>
      <c r="D670" s="380" t="str">
        <f t="shared" si="14"/>
        <v>NACE H - 52.32 Intermediation service activities for passenger transportation</v>
      </c>
      <c r="K670" t="s">
        <v>3101</v>
      </c>
    </row>
    <row r="671" spans="1:11">
      <c r="A671" s="376" t="s">
        <v>1906</v>
      </c>
      <c r="B671" t="s">
        <v>1907</v>
      </c>
      <c r="C671" s="380"/>
      <c r="D671" s="376" t="str">
        <f t="shared" si="14"/>
        <v>NACE H - 53 Postal and courier activities</v>
      </c>
      <c r="K671" t="s">
        <v>3102</v>
      </c>
    </row>
    <row r="672" spans="1:11">
      <c r="A672" s="379" t="s">
        <v>1908</v>
      </c>
      <c r="B672" t="s">
        <v>1909</v>
      </c>
      <c r="C672" s="380"/>
      <c r="D672" s="379" t="str">
        <f t="shared" si="14"/>
        <v>NACE H - 53.1 Postal activities under universal service obligation</v>
      </c>
      <c r="K672" t="s">
        <v>3265</v>
      </c>
    </row>
    <row r="673" spans="1:11">
      <c r="A673" s="380" t="s">
        <v>1910</v>
      </c>
      <c r="B673" t="s">
        <v>1911</v>
      </c>
      <c r="C673" s="380"/>
      <c r="D673" s="380" t="str">
        <f t="shared" si="14"/>
        <v>NACE H - 53.10 Postal activities under universal service obligation</v>
      </c>
      <c r="K673" t="s">
        <v>3103</v>
      </c>
    </row>
    <row r="674" spans="1:11">
      <c r="A674" s="379" t="s">
        <v>1912</v>
      </c>
      <c r="B674" t="s">
        <v>1913</v>
      </c>
      <c r="C674" s="380"/>
      <c r="D674" s="379" t="str">
        <f t="shared" si="14"/>
        <v>NACE H - 53.2 Other postal and courier activities</v>
      </c>
      <c r="K674" t="s">
        <v>3104</v>
      </c>
    </row>
    <row r="675" spans="1:11">
      <c r="A675" s="380" t="s">
        <v>1914</v>
      </c>
      <c r="B675" t="s">
        <v>1915</v>
      </c>
      <c r="C675" s="380"/>
      <c r="D675" s="380" t="str">
        <f t="shared" si="14"/>
        <v>NACE H - 53.20 Other postal and courier activities</v>
      </c>
      <c r="K675" t="s">
        <v>3105</v>
      </c>
    </row>
    <row r="676" spans="1:11">
      <c r="A676" s="379" t="s">
        <v>1916</v>
      </c>
      <c r="B676" t="s">
        <v>1917</v>
      </c>
      <c r="C676" s="380"/>
      <c r="D676" s="379" t="str">
        <f t="shared" si="14"/>
        <v>NACE H - 53.3 Intermediation service activities for postal and courier activities</v>
      </c>
      <c r="K676" t="s">
        <v>3266</v>
      </c>
    </row>
    <row r="677" spans="1:11">
      <c r="A677" s="380" t="s">
        <v>1918</v>
      </c>
      <c r="B677" t="s">
        <v>1919</v>
      </c>
      <c r="C677" s="380"/>
      <c r="D677" s="380" t="str">
        <f t="shared" si="14"/>
        <v>NACE H - 53.30 Intermediation service activities for postal and courier activities</v>
      </c>
      <c r="K677" t="s">
        <v>3106</v>
      </c>
    </row>
    <row r="678" spans="1:11">
      <c r="A678" s="377" t="s">
        <v>1920</v>
      </c>
      <c r="B678" t="s">
        <v>1921</v>
      </c>
      <c r="C678" s="380"/>
      <c r="D678" s="377" t="str">
        <f t="shared" si="14"/>
        <v>NACE I - ACCOMMODATION AND FOOD SERVICE ACTIVITIES</v>
      </c>
      <c r="K678" t="s">
        <v>3107</v>
      </c>
    </row>
    <row r="679" spans="1:11">
      <c r="A679" s="376" t="s">
        <v>1922</v>
      </c>
      <c r="B679" t="s">
        <v>1923</v>
      </c>
      <c r="C679" s="380"/>
      <c r="D679" s="376" t="str">
        <f t="shared" si="14"/>
        <v>NACE I - 55 Accommodation</v>
      </c>
      <c r="K679" t="s">
        <v>3108</v>
      </c>
    </row>
    <row r="680" spans="1:11">
      <c r="A680" s="379" t="s">
        <v>1924</v>
      </c>
      <c r="B680" t="s">
        <v>1925</v>
      </c>
      <c r="C680" s="380"/>
      <c r="D680" s="379" t="str">
        <f t="shared" si="14"/>
        <v>NACE I - 55.1 Hotels and similar accommodation</v>
      </c>
      <c r="K680" t="s">
        <v>3109</v>
      </c>
    </row>
    <row r="681" spans="1:11">
      <c r="A681" s="380" t="s">
        <v>1926</v>
      </c>
      <c r="B681" t="s">
        <v>1927</v>
      </c>
      <c r="C681" s="380"/>
      <c r="D681" s="380" t="str">
        <f t="shared" si="14"/>
        <v>NACE I - 55.10 Hotels and similar accommodation</v>
      </c>
      <c r="K681" t="s">
        <v>3110</v>
      </c>
    </row>
    <row r="682" spans="1:11">
      <c r="A682" s="379" t="s">
        <v>1928</v>
      </c>
      <c r="B682" t="s">
        <v>1929</v>
      </c>
      <c r="C682" s="380"/>
      <c r="D682" s="379" t="str">
        <f t="shared" si="14"/>
        <v>NACE I - 55.2 Holiday and other short-stay accommodation</v>
      </c>
      <c r="K682" t="s">
        <v>3111</v>
      </c>
    </row>
    <row r="683" spans="1:11">
      <c r="A683" s="380" t="s">
        <v>1930</v>
      </c>
      <c r="B683" t="s">
        <v>1931</v>
      </c>
      <c r="C683" s="380"/>
      <c r="D683" s="380" t="str">
        <f t="shared" si="14"/>
        <v>NACE I - 55.20 Holiday and other short-stay accommodation</v>
      </c>
      <c r="K683" t="s">
        <v>3112</v>
      </c>
    </row>
    <row r="684" spans="1:11">
      <c r="A684" s="379" t="s">
        <v>1932</v>
      </c>
      <c r="B684" t="s">
        <v>1933</v>
      </c>
      <c r="C684" s="380"/>
      <c r="D684" s="379" t="str">
        <f t="shared" si="14"/>
        <v>NACE I - 55.3 Camping grounds and recreational vehicle parks</v>
      </c>
      <c r="K684" t="s">
        <v>3113</v>
      </c>
    </row>
    <row r="685" spans="1:11">
      <c r="A685" s="380" t="s">
        <v>1934</v>
      </c>
      <c r="B685" t="s">
        <v>1935</v>
      </c>
      <c r="C685" s="380"/>
      <c r="D685" s="380" t="str">
        <f t="shared" si="14"/>
        <v>NACE I - 55.30 Camping grounds and recreational vehicle parks</v>
      </c>
      <c r="K685" t="s">
        <v>3267</v>
      </c>
    </row>
    <row r="686" spans="1:11">
      <c r="A686" s="379" t="s">
        <v>1936</v>
      </c>
      <c r="B686" t="s">
        <v>1937</v>
      </c>
      <c r="C686" s="380"/>
      <c r="D686" s="379" t="str">
        <f t="shared" si="14"/>
        <v>NACE I - 55.4 Intermediation service activities for accommodation</v>
      </c>
      <c r="K686" t="s">
        <v>3577</v>
      </c>
    </row>
    <row r="687" spans="1:11">
      <c r="A687" s="380" t="s">
        <v>1938</v>
      </c>
      <c r="B687" t="s">
        <v>1939</v>
      </c>
      <c r="C687" s="380"/>
      <c r="D687" s="380" t="str">
        <f t="shared" si="14"/>
        <v>NACE I - 55.40 Intermediation service activities for accommodation</v>
      </c>
      <c r="K687" t="s">
        <v>3114</v>
      </c>
    </row>
    <row r="688" spans="1:11">
      <c r="A688" s="379" t="s">
        <v>1940</v>
      </c>
      <c r="B688" t="s">
        <v>1941</v>
      </c>
      <c r="C688" s="380"/>
      <c r="D688" s="379" t="str">
        <f t="shared" si="14"/>
        <v>NACE I - 55.9 Other accommodation</v>
      </c>
      <c r="K688" t="s">
        <v>3578</v>
      </c>
    </row>
    <row r="689" spans="1:11">
      <c r="A689" s="380" t="s">
        <v>1942</v>
      </c>
      <c r="B689" t="s">
        <v>1943</v>
      </c>
      <c r="C689" s="380"/>
      <c r="D689" s="380" t="str">
        <f t="shared" si="14"/>
        <v>NACE I - 55.90 Other accommodation</v>
      </c>
      <c r="K689" t="s">
        <v>3115</v>
      </c>
    </row>
    <row r="690" spans="1:11">
      <c r="A690" s="376" t="s">
        <v>1944</v>
      </c>
      <c r="B690" t="s">
        <v>1945</v>
      </c>
      <c r="C690" s="380"/>
      <c r="D690" s="376" t="str">
        <f t="shared" si="14"/>
        <v>NACE I - 56 Food and beverage service activities</v>
      </c>
      <c r="K690" t="s">
        <v>3268</v>
      </c>
    </row>
    <row r="691" spans="1:11">
      <c r="A691" s="379" t="s">
        <v>1946</v>
      </c>
      <c r="B691" t="s">
        <v>1947</v>
      </c>
      <c r="C691" s="380"/>
      <c r="D691" s="379" t="str">
        <f t="shared" si="14"/>
        <v>NACE I - 56.1 Restaurants and mobile food service activities</v>
      </c>
      <c r="K691" t="s">
        <v>3579</v>
      </c>
    </row>
    <row r="692" spans="1:11">
      <c r="A692" s="380" t="s">
        <v>1948</v>
      </c>
      <c r="B692" t="s">
        <v>1949</v>
      </c>
      <c r="C692" s="380"/>
      <c r="D692" s="380" t="str">
        <f t="shared" si="14"/>
        <v>NACE I - 56.11 Restaurant activities</v>
      </c>
      <c r="K692" t="s">
        <v>3116</v>
      </c>
    </row>
    <row r="693" spans="1:11">
      <c r="A693" s="380" t="s">
        <v>1950</v>
      </c>
      <c r="B693" t="s">
        <v>1951</v>
      </c>
      <c r="C693" s="380"/>
      <c r="D693" s="380" t="str">
        <f t="shared" si="14"/>
        <v>NACE I - 56.12 Mobile food service activities</v>
      </c>
      <c r="K693" t="s">
        <v>3269</v>
      </c>
    </row>
    <row r="694" spans="1:11">
      <c r="A694" s="379" t="s">
        <v>1952</v>
      </c>
      <c r="B694" t="s">
        <v>1953</v>
      </c>
      <c r="C694" s="380"/>
      <c r="D694" s="379" t="str">
        <f t="shared" si="14"/>
        <v>NACE I - 56.2 Event catering, contract catering service activities and other food service activities</v>
      </c>
      <c r="K694" t="s">
        <v>3580</v>
      </c>
    </row>
    <row r="695" spans="1:11">
      <c r="A695" s="380" t="s">
        <v>1954</v>
      </c>
      <c r="B695" t="s">
        <v>1955</v>
      </c>
      <c r="C695" s="380"/>
      <c r="D695" s="380" t="str">
        <f t="shared" si="14"/>
        <v>NACE I - 56.21 Event catering activities</v>
      </c>
      <c r="K695" t="s">
        <v>3313</v>
      </c>
    </row>
    <row r="696" spans="1:11">
      <c r="A696" s="380" t="s">
        <v>1956</v>
      </c>
      <c r="B696" t="s">
        <v>1957</v>
      </c>
      <c r="C696" s="380"/>
      <c r="D696" s="380" t="str">
        <f t="shared" si="14"/>
        <v>NACE I - 56.22 Contract catering service activities and other food service activities</v>
      </c>
      <c r="K696" t="s">
        <v>2769</v>
      </c>
    </row>
    <row r="697" spans="1:11">
      <c r="A697" s="379" t="s">
        <v>1958</v>
      </c>
      <c r="B697" t="s">
        <v>1959</v>
      </c>
      <c r="C697" s="380"/>
      <c r="D697" s="379" t="str">
        <f t="shared" si="14"/>
        <v>NACE I - 56.3 Beverage serving activities</v>
      </c>
      <c r="K697" t="s">
        <v>3270</v>
      </c>
    </row>
    <row r="698" spans="1:11">
      <c r="A698" s="380" t="s">
        <v>1960</v>
      </c>
      <c r="B698" t="s">
        <v>1961</v>
      </c>
      <c r="C698" s="380"/>
      <c r="D698" s="380" t="str">
        <f t="shared" si="14"/>
        <v>NACE I - 56.30 Beverage serving activities</v>
      </c>
      <c r="K698" t="s">
        <v>3117</v>
      </c>
    </row>
    <row r="699" spans="1:11">
      <c r="A699" s="379" t="s">
        <v>1962</v>
      </c>
      <c r="B699" t="s">
        <v>1963</v>
      </c>
      <c r="C699" s="380"/>
      <c r="D699" s="379" t="str">
        <f t="shared" si="14"/>
        <v>NACE I - 56.4 Intermediation service activities for food and beverage services activities</v>
      </c>
      <c r="K699" t="s">
        <v>3118</v>
      </c>
    </row>
    <row r="700" spans="1:11">
      <c r="A700" s="380" t="s">
        <v>1964</v>
      </c>
      <c r="B700" t="s">
        <v>1965</v>
      </c>
      <c r="C700" s="380"/>
      <c r="D700" s="380" t="str">
        <f t="shared" si="14"/>
        <v>NACE I - 56.40 Intermediation service activities for food and beverage services activities</v>
      </c>
      <c r="K700" t="s">
        <v>3581</v>
      </c>
    </row>
    <row r="701" spans="1:11">
      <c r="A701" s="377" t="s">
        <v>1966</v>
      </c>
      <c r="B701" t="s">
        <v>1967</v>
      </c>
      <c r="C701" s="380"/>
      <c r="D701" s="377" t="str">
        <f t="shared" si="14"/>
        <v>NACE J - PUBLISHING, BROADCASTING, AND CONTENT PRODUCTION AND DISTRIBUTION ACTIVITIES</v>
      </c>
      <c r="K701" t="s">
        <v>3119</v>
      </c>
    </row>
    <row r="702" spans="1:11">
      <c r="A702" s="376" t="s">
        <v>1968</v>
      </c>
      <c r="B702" t="s">
        <v>1969</v>
      </c>
      <c r="C702" s="380"/>
      <c r="D702" s="376" t="str">
        <f t="shared" si="14"/>
        <v>NACE J - 58 Publishing activities</v>
      </c>
      <c r="K702" t="s">
        <v>3582</v>
      </c>
    </row>
    <row r="703" spans="1:11">
      <c r="A703" s="379" t="s">
        <v>1970</v>
      </c>
      <c r="B703" t="s">
        <v>1971</v>
      </c>
      <c r="C703" s="380"/>
      <c r="D703" s="379" t="str">
        <f t="shared" si="14"/>
        <v>NACE J - 58.1 Publishing of books, newspapers and other publishing activities, except software publishing</v>
      </c>
      <c r="K703" t="s">
        <v>3314</v>
      </c>
    </row>
    <row r="704" spans="1:11">
      <c r="A704" s="380" t="s">
        <v>1972</v>
      </c>
      <c r="B704" t="s">
        <v>1973</v>
      </c>
      <c r="C704" s="380"/>
      <c r="D704" s="380" t="str">
        <f t="shared" si="14"/>
        <v>NACE J - 58.11 Publishing of books</v>
      </c>
      <c r="K704" t="s">
        <v>3583</v>
      </c>
    </row>
    <row r="705" spans="1:11">
      <c r="A705" s="380" t="s">
        <v>1974</v>
      </c>
      <c r="B705" t="s">
        <v>1975</v>
      </c>
      <c r="C705" s="380"/>
      <c r="D705" s="380" t="str">
        <f t="shared" si="14"/>
        <v>NACE J - 58.12 Publishing of newspapers</v>
      </c>
      <c r="K705" t="s">
        <v>3315</v>
      </c>
    </row>
    <row r="706" spans="1:11">
      <c r="A706" s="380" t="s">
        <v>1976</v>
      </c>
      <c r="B706" t="s">
        <v>1977</v>
      </c>
      <c r="C706" s="380"/>
      <c r="D706" s="380" t="str">
        <f t="shared" ref="D706:D769" si="15">_xlfn.CONCAT("NACE ", A706)</f>
        <v>NACE J - 58.13 Publishing of journals and periodicals</v>
      </c>
      <c r="K706" t="s">
        <v>3584</v>
      </c>
    </row>
    <row r="707" spans="1:11">
      <c r="A707" s="380" t="s">
        <v>1978</v>
      </c>
      <c r="B707" t="s">
        <v>1979</v>
      </c>
      <c r="C707" s="380"/>
      <c r="D707" s="380" t="str">
        <f t="shared" si="15"/>
        <v>NACE J - 58.19 Other publishing activities, except software publishing</v>
      </c>
      <c r="K707" t="s">
        <v>3271</v>
      </c>
    </row>
    <row r="708" spans="1:11">
      <c r="A708" s="379" t="s">
        <v>1980</v>
      </c>
      <c r="B708" t="s">
        <v>1981</v>
      </c>
      <c r="C708" s="380"/>
      <c r="D708" s="379" t="str">
        <f t="shared" si="15"/>
        <v>NACE J - 58.2 Software publishing</v>
      </c>
      <c r="K708" t="s">
        <v>3120</v>
      </c>
    </row>
    <row r="709" spans="1:11">
      <c r="A709" s="380" t="s">
        <v>1982</v>
      </c>
      <c r="B709" t="s">
        <v>1983</v>
      </c>
      <c r="C709" s="380"/>
      <c r="D709" s="380" t="str">
        <f t="shared" si="15"/>
        <v>NACE J - 58.21 Publishing of video games</v>
      </c>
      <c r="K709" t="s">
        <v>3585</v>
      </c>
    </row>
    <row r="710" spans="1:11">
      <c r="A710" s="380" t="s">
        <v>1984</v>
      </c>
      <c r="B710" t="s">
        <v>1985</v>
      </c>
      <c r="C710" s="380"/>
      <c r="D710" s="380" t="str">
        <f t="shared" si="15"/>
        <v>NACE J - 58.29 Other software publishing</v>
      </c>
      <c r="K710" t="s">
        <v>3121</v>
      </c>
    </row>
    <row r="711" spans="1:11">
      <c r="A711" s="376" t="s">
        <v>1986</v>
      </c>
      <c r="B711" t="s">
        <v>1987</v>
      </c>
      <c r="C711" s="380"/>
      <c r="D711" s="376" t="str">
        <f t="shared" si="15"/>
        <v>NACE J - 59 Motion picture, video and television programme production, sound recording and music publishing activities</v>
      </c>
      <c r="K711" t="s">
        <v>3586</v>
      </c>
    </row>
    <row r="712" spans="1:11">
      <c r="A712" s="379" t="s">
        <v>1988</v>
      </c>
      <c r="B712" t="s">
        <v>1989</v>
      </c>
      <c r="C712" s="380"/>
      <c r="D712" s="379" t="str">
        <f t="shared" si="15"/>
        <v>NACE J - 59.1 Motion picture, video and television programme activities</v>
      </c>
      <c r="K712" t="s">
        <v>3316</v>
      </c>
    </row>
    <row r="713" spans="1:11">
      <c r="A713" s="380" t="s">
        <v>1990</v>
      </c>
      <c r="B713" t="s">
        <v>1991</v>
      </c>
      <c r="C713" s="380"/>
      <c r="D713" s="380" t="str">
        <f t="shared" si="15"/>
        <v>NACE J - 59.11 Motion picture, video and television programme production activities</v>
      </c>
      <c r="K713" t="s">
        <v>3587</v>
      </c>
    </row>
    <row r="714" spans="1:11">
      <c r="A714" s="380" t="s">
        <v>1992</v>
      </c>
      <c r="B714" t="s">
        <v>1993</v>
      </c>
      <c r="C714" s="380"/>
      <c r="D714" s="380" t="str">
        <f t="shared" si="15"/>
        <v>NACE J - 59.12 Motion picture, video and television programme post-production activities</v>
      </c>
      <c r="K714" t="s">
        <v>3272</v>
      </c>
    </row>
    <row r="715" spans="1:11">
      <c r="A715" s="380" t="s">
        <v>1994</v>
      </c>
      <c r="B715" t="s">
        <v>1995</v>
      </c>
      <c r="C715" s="380"/>
      <c r="D715" s="380" t="str">
        <f t="shared" si="15"/>
        <v>NACE J - 59.13 Motion picture and video distribution activities</v>
      </c>
      <c r="K715" t="s">
        <v>2770</v>
      </c>
    </row>
    <row r="716" spans="1:11">
      <c r="A716" s="380" t="s">
        <v>1996</v>
      </c>
      <c r="B716" t="s">
        <v>1997</v>
      </c>
      <c r="C716" s="380"/>
      <c r="D716" s="380" t="str">
        <f t="shared" si="15"/>
        <v>NACE J - 59.14 Motion picture projection activities</v>
      </c>
      <c r="K716" t="s">
        <v>3273</v>
      </c>
    </row>
    <row r="717" spans="1:11">
      <c r="A717" s="379" t="s">
        <v>1998</v>
      </c>
      <c r="B717" t="s">
        <v>1999</v>
      </c>
      <c r="C717" s="380"/>
      <c r="D717" s="379" t="str">
        <f t="shared" si="15"/>
        <v>NACE J - 59.2 Sound recording and music publishing activities</v>
      </c>
      <c r="K717" t="s">
        <v>3122</v>
      </c>
    </row>
    <row r="718" spans="1:11">
      <c r="A718" s="380" t="s">
        <v>2000</v>
      </c>
      <c r="B718" t="s">
        <v>2001</v>
      </c>
      <c r="C718" s="380"/>
      <c r="D718" s="380" t="str">
        <f t="shared" si="15"/>
        <v>NACE J - 59.20 Sound recording and music publishing activities</v>
      </c>
      <c r="K718" t="s">
        <v>3588</v>
      </c>
    </row>
    <row r="719" spans="1:11">
      <c r="A719" s="376" t="s">
        <v>2002</v>
      </c>
      <c r="B719" t="s">
        <v>2003</v>
      </c>
      <c r="C719" s="380"/>
      <c r="D719" s="376" t="str">
        <f t="shared" si="15"/>
        <v>NACE J - 60 Programming, broadcasting, news agency and other content distribution activities</v>
      </c>
      <c r="K719" t="s">
        <v>3589</v>
      </c>
    </row>
    <row r="720" spans="1:11">
      <c r="A720" s="379" t="s">
        <v>2004</v>
      </c>
      <c r="B720" t="s">
        <v>2005</v>
      </c>
      <c r="C720" s="380"/>
      <c r="D720" s="379" t="str">
        <f t="shared" si="15"/>
        <v>NACE J - 60.1 Radio broadcasting and audio distribution activities</v>
      </c>
      <c r="K720" t="s">
        <v>3590</v>
      </c>
    </row>
    <row r="721" spans="1:11">
      <c r="A721" s="380" t="s">
        <v>2006</v>
      </c>
      <c r="B721" t="s">
        <v>2007</v>
      </c>
      <c r="C721" s="380"/>
      <c r="D721" s="380" t="str">
        <f t="shared" si="15"/>
        <v>NACE J - 60.10 Radio broadcasting and audio distribution activities</v>
      </c>
      <c r="K721" t="s">
        <v>3591</v>
      </c>
    </row>
    <row r="722" spans="1:11">
      <c r="A722" s="379" t="s">
        <v>2008</v>
      </c>
      <c r="B722" t="s">
        <v>2009</v>
      </c>
      <c r="C722" s="380"/>
      <c r="D722" s="379" t="str">
        <f t="shared" si="15"/>
        <v>NACE J - 60.2 Television programming, broadcasting and video distribution activities</v>
      </c>
      <c r="K722" t="s">
        <v>3592</v>
      </c>
    </row>
    <row r="723" spans="1:11">
      <c r="A723" s="380" t="s">
        <v>2010</v>
      </c>
      <c r="B723" t="s">
        <v>2011</v>
      </c>
      <c r="C723" s="380"/>
      <c r="D723" s="380" t="str">
        <f t="shared" si="15"/>
        <v>NACE J - 60.20 Television programming, broadcasting and video distribution activities</v>
      </c>
      <c r="K723" t="s">
        <v>3317</v>
      </c>
    </row>
    <row r="724" spans="1:11">
      <c r="A724" s="379" t="s">
        <v>2012</v>
      </c>
      <c r="B724" t="s">
        <v>2013</v>
      </c>
      <c r="C724" s="380"/>
      <c r="D724" s="379" t="str">
        <f t="shared" si="15"/>
        <v>NACE J - 60.3 News agency and other content distribution activities</v>
      </c>
      <c r="K724" t="s">
        <v>3593</v>
      </c>
    </row>
    <row r="725" spans="1:11">
      <c r="A725" s="380" t="s">
        <v>2014</v>
      </c>
      <c r="B725" t="s">
        <v>2015</v>
      </c>
      <c r="C725" s="380"/>
      <c r="D725" s="380" t="str">
        <f t="shared" si="15"/>
        <v>NACE J - 60.31 News agency activities</v>
      </c>
      <c r="K725" t="s">
        <v>3318</v>
      </c>
    </row>
    <row r="726" spans="1:11">
      <c r="A726" s="380" t="s">
        <v>2016</v>
      </c>
      <c r="B726" t="s">
        <v>2017</v>
      </c>
      <c r="C726" s="380"/>
      <c r="D726" s="380" t="str">
        <f t="shared" si="15"/>
        <v>NACE J - 60.39 Other content distribution activities</v>
      </c>
      <c r="K726" t="s">
        <v>3594</v>
      </c>
    </row>
    <row r="727" spans="1:11">
      <c r="A727" s="377" t="s">
        <v>2018</v>
      </c>
      <c r="B727" t="s">
        <v>2019</v>
      </c>
      <c r="C727" s="380"/>
      <c r="D727" s="377" t="str">
        <f t="shared" si="15"/>
        <v>NACE K - TELECOMMUNICATION, COMPUTER PROGRAMMING, CONSULTING, COMPUTING INFRASTRUCTURE AND OTHER INFORMATION SERVICE ACTIVITIES</v>
      </c>
      <c r="K727" t="s">
        <v>3319</v>
      </c>
    </row>
    <row r="728" spans="1:11">
      <c r="A728" s="376" t="s">
        <v>2020</v>
      </c>
      <c r="B728" t="s">
        <v>2021</v>
      </c>
      <c r="C728" s="380"/>
      <c r="D728" s="376" t="str">
        <f t="shared" si="15"/>
        <v>NACE K - 61 Telecommunication</v>
      </c>
      <c r="K728" t="s">
        <v>3595</v>
      </c>
    </row>
    <row r="729" spans="1:11">
      <c r="A729" s="379" t="s">
        <v>2022</v>
      </c>
      <c r="B729" t="s">
        <v>2023</v>
      </c>
      <c r="C729" s="380"/>
      <c r="D729" s="379" t="str">
        <f t="shared" si="15"/>
        <v>NACE K - 61.1 Wired, wireless, and satellite telecommunication activities</v>
      </c>
      <c r="K729" t="s">
        <v>3320</v>
      </c>
    </row>
    <row r="730" spans="1:11">
      <c r="A730" s="380" t="s">
        <v>2024</v>
      </c>
      <c r="B730" t="s">
        <v>2025</v>
      </c>
      <c r="C730" s="380"/>
      <c r="D730" s="380" t="str">
        <f t="shared" si="15"/>
        <v>NACE K - 61.10 Wired, wireless, and satellite telecommunication activities</v>
      </c>
      <c r="K730" t="s">
        <v>3123</v>
      </c>
    </row>
    <row r="731" spans="1:11">
      <c r="A731" s="379" t="s">
        <v>2026</v>
      </c>
      <c r="B731" t="s">
        <v>2027</v>
      </c>
      <c r="C731" s="380"/>
      <c r="D731" s="379" t="str">
        <f t="shared" si="15"/>
        <v>NACE K - 61.2 Telecommunication reselling activities and intermediation service activities for telecommunication</v>
      </c>
      <c r="K731" t="s">
        <v>3274</v>
      </c>
    </row>
    <row r="732" spans="1:11">
      <c r="A732" s="380" t="s">
        <v>2028</v>
      </c>
      <c r="B732" t="s">
        <v>2029</v>
      </c>
      <c r="C732" s="380"/>
      <c r="D732" s="380" t="str">
        <f t="shared" si="15"/>
        <v>NACE K - 61.20 Telecommunication reselling activities and intermediation service activities for telecommunication</v>
      </c>
      <c r="K732" t="s">
        <v>3596</v>
      </c>
    </row>
    <row r="733" spans="1:11">
      <c r="A733" s="379" t="s">
        <v>2030</v>
      </c>
      <c r="B733" t="s">
        <v>2031</v>
      </c>
      <c r="C733" s="380"/>
      <c r="D733" s="379" t="str">
        <f t="shared" si="15"/>
        <v>NACE K - 61.9 Other telecommunication activities</v>
      </c>
      <c r="K733" t="s">
        <v>3124</v>
      </c>
    </row>
    <row r="734" spans="1:11">
      <c r="A734" s="380" t="s">
        <v>2032</v>
      </c>
      <c r="B734" t="s">
        <v>2033</v>
      </c>
      <c r="C734" s="380"/>
      <c r="D734" s="380" t="str">
        <f t="shared" si="15"/>
        <v>NACE K - 61.90 Other telecommunication activities</v>
      </c>
      <c r="K734" t="s">
        <v>3597</v>
      </c>
    </row>
    <row r="735" spans="1:11">
      <c r="A735" s="376" t="s">
        <v>2034</v>
      </c>
      <c r="B735" t="s">
        <v>2035</v>
      </c>
      <c r="C735" s="380"/>
      <c r="D735" s="376" t="str">
        <f t="shared" si="15"/>
        <v>NACE K - 62 Computer programming, consultancy and related activities</v>
      </c>
      <c r="K735" t="s">
        <v>3275</v>
      </c>
    </row>
    <row r="736" spans="1:11">
      <c r="A736" s="379" t="s">
        <v>2036</v>
      </c>
      <c r="B736" t="s">
        <v>2037</v>
      </c>
      <c r="C736" s="380"/>
      <c r="D736" s="379" t="str">
        <f t="shared" si="15"/>
        <v>NACE K - 62.1 Computer programming activities</v>
      </c>
      <c r="K736" t="s">
        <v>3598</v>
      </c>
    </row>
    <row r="737" spans="1:11">
      <c r="A737" s="380" t="s">
        <v>2038</v>
      </c>
      <c r="B737" t="s">
        <v>2039</v>
      </c>
      <c r="C737" s="380"/>
      <c r="D737" s="380" t="str">
        <f t="shared" si="15"/>
        <v>NACE K - 62.10 Computer programming activities</v>
      </c>
      <c r="K737" t="s">
        <v>3321</v>
      </c>
    </row>
    <row r="738" spans="1:11">
      <c r="A738" s="379" t="s">
        <v>2040</v>
      </c>
      <c r="B738" t="s">
        <v>2041</v>
      </c>
      <c r="C738" s="380"/>
      <c r="D738" s="379" t="str">
        <f t="shared" si="15"/>
        <v>NACE K - 62.2 Computer consultancy and computer facilities management activities</v>
      </c>
      <c r="K738" t="s">
        <v>3599</v>
      </c>
    </row>
    <row r="739" spans="1:11">
      <c r="A739" s="380" t="s">
        <v>2042</v>
      </c>
      <c r="B739" t="s">
        <v>2043</v>
      </c>
      <c r="C739" s="380"/>
      <c r="D739" s="380" t="str">
        <f t="shared" si="15"/>
        <v>NACE K - 62.20 Computer consultancy and computer facilities management activities</v>
      </c>
      <c r="K739" t="s">
        <v>3322</v>
      </c>
    </row>
    <row r="740" spans="1:11">
      <c r="A740" s="379" t="s">
        <v>2044</v>
      </c>
      <c r="B740" t="s">
        <v>2045</v>
      </c>
      <c r="C740" s="380"/>
      <c r="D740" s="379" t="str">
        <f t="shared" si="15"/>
        <v>NACE K - 62.9 Other information technology and computer service activities</v>
      </c>
      <c r="K740" t="s">
        <v>3276</v>
      </c>
    </row>
    <row r="741" spans="1:11">
      <c r="A741" s="380" t="s">
        <v>2046</v>
      </c>
      <c r="B741" t="s">
        <v>2047</v>
      </c>
      <c r="C741" s="380"/>
      <c r="D741" s="380" t="str">
        <f t="shared" si="15"/>
        <v>NACE K - 62.90 Other information technology and computer service activities</v>
      </c>
      <c r="K741" t="s">
        <v>3125</v>
      </c>
    </row>
    <row r="742" spans="1:11">
      <c r="A742" s="376" t="s">
        <v>2048</v>
      </c>
      <c r="B742" t="s">
        <v>2049</v>
      </c>
      <c r="C742" s="380"/>
      <c r="D742" s="376" t="str">
        <f t="shared" si="15"/>
        <v>NACE K - 63 Computing infrastructure, data processing, hosting and other information service activities</v>
      </c>
      <c r="K742" t="s">
        <v>3600</v>
      </c>
    </row>
    <row r="743" spans="1:11">
      <c r="A743" s="379" t="s">
        <v>2050</v>
      </c>
      <c r="B743" t="s">
        <v>2051</v>
      </c>
      <c r="C743" s="380"/>
      <c r="D743" s="379" t="str">
        <f t="shared" si="15"/>
        <v>NACE K - 63.1 Computing infrastructure, data processing, hosting and related activities</v>
      </c>
      <c r="K743" t="s">
        <v>3601</v>
      </c>
    </row>
    <row r="744" spans="1:11">
      <c r="A744" s="380" t="s">
        <v>2052</v>
      </c>
      <c r="B744" t="s">
        <v>2053</v>
      </c>
      <c r="C744" s="380"/>
      <c r="D744" s="380" t="str">
        <f t="shared" si="15"/>
        <v>NACE K - 63.10 Computing infrastructure, data processing, hosting and related activities</v>
      </c>
      <c r="K744" t="s">
        <v>3126</v>
      </c>
    </row>
    <row r="745" spans="1:11">
      <c r="A745" s="379" t="s">
        <v>2054</v>
      </c>
      <c r="B745" t="s">
        <v>2055</v>
      </c>
      <c r="C745" s="380"/>
      <c r="D745" s="379" t="str">
        <f t="shared" si="15"/>
        <v>NACE K - 63.9 Web search portal activities and other information service activities</v>
      </c>
      <c r="K745" t="s">
        <v>3277</v>
      </c>
    </row>
    <row r="746" spans="1:11">
      <c r="A746" s="380" t="s">
        <v>2056</v>
      </c>
      <c r="B746" t="s">
        <v>2057</v>
      </c>
      <c r="C746" s="380"/>
      <c r="D746" s="380" t="str">
        <f t="shared" si="15"/>
        <v>NACE K - 63.91 Web search portal activities</v>
      </c>
      <c r="K746" t="s">
        <v>3127</v>
      </c>
    </row>
    <row r="747" spans="1:11">
      <c r="A747" s="380" t="s">
        <v>2058</v>
      </c>
      <c r="B747" t="s">
        <v>2059</v>
      </c>
      <c r="C747" s="380"/>
      <c r="D747" s="380" t="str">
        <f t="shared" si="15"/>
        <v>NACE K - 63.92 Other information service activities</v>
      </c>
      <c r="K747" t="s">
        <v>3128</v>
      </c>
    </row>
    <row r="748" spans="1:11">
      <c r="A748" s="377" t="s">
        <v>2060</v>
      </c>
      <c r="B748" t="s">
        <v>2061</v>
      </c>
      <c r="C748" s="380"/>
      <c r="D748" s="377" t="str">
        <f t="shared" si="15"/>
        <v>NACE L - FINANCIAL AND INSURANCE ACTIVITIES</v>
      </c>
      <c r="K748" t="s">
        <v>3129</v>
      </c>
    </row>
    <row r="749" spans="1:11">
      <c r="A749" s="376" t="s">
        <v>2062</v>
      </c>
      <c r="B749" t="s">
        <v>2063</v>
      </c>
      <c r="C749" s="380"/>
      <c r="D749" s="376" t="str">
        <f t="shared" si="15"/>
        <v>NACE L - 64 Financial service activities, except insurance and pension funding</v>
      </c>
      <c r="K749" t="s">
        <v>3130</v>
      </c>
    </row>
    <row r="750" spans="1:11">
      <c r="A750" s="379" t="s">
        <v>2064</v>
      </c>
      <c r="B750" t="s">
        <v>2065</v>
      </c>
      <c r="C750" s="380"/>
      <c r="D750" s="379" t="str">
        <f t="shared" si="15"/>
        <v>NACE L - 64.1 Monetary intermediation</v>
      </c>
      <c r="K750" t="s">
        <v>3278</v>
      </c>
    </row>
    <row r="751" spans="1:11">
      <c r="A751" s="380" t="s">
        <v>2066</v>
      </c>
      <c r="B751" t="s">
        <v>2067</v>
      </c>
      <c r="C751" s="380"/>
      <c r="D751" s="380" t="str">
        <f t="shared" si="15"/>
        <v>NACE L - 64.11 Central banking</v>
      </c>
      <c r="K751" t="s">
        <v>3131</v>
      </c>
    </row>
    <row r="752" spans="1:11">
      <c r="A752" s="380" t="s">
        <v>2068</v>
      </c>
      <c r="B752" t="s">
        <v>2069</v>
      </c>
      <c r="C752" s="380"/>
      <c r="D752" s="380" t="str">
        <f t="shared" si="15"/>
        <v>NACE L - 64.19 Other monetary intermediation</v>
      </c>
      <c r="K752" t="s">
        <v>3132</v>
      </c>
    </row>
    <row r="753" spans="1:11">
      <c r="A753" s="379" t="s">
        <v>2070</v>
      </c>
      <c r="B753" t="s">
        <v>2071</v>
      </c>
      <c r="C753" s="380"/>
      <c r="D753" s="379" t="str">
        <f t="shared" si="15"/>
        <v>NACE L - 64.2 Activities of holding companies and financing conduits</v>
      </c>
      <c r="K753" t="s">
        <v>3133</v>
      </c>
    </row>
    <row r="754" spans="1:11">
      <c r="A754" s="380" t="s">
        <v>2072</v>
      </c>
      <c r="B754" t="s">
        <v>2073</v>
      </c>
      <c r="C754" s="380"/>
      <c r="D754" s="380" t="str">
        <f t="shared" si="15"/>
        <v>NACE L - 64.21 Activities of holding companies</v>
      </c>
      <c r="K754" t="s">
        <v>3279</v>
      </c>
    </row>
    <row r="755" spans="1:11">
      <c r="A755" s="380" t="s">
        <v>2074</v>
      </c>
      <c r="B755" t="s">
        <v>2075</v>
      </c>
      <c r="C755" s="380"/>
      <c r="D755" s="380" t="str">
        <f t="shared" si="15"/>
        <v>NACE L - 64.22 Activities of financing conduits</v>
      </c>
      <c r="K755" t="s">
        <v>3134</v>
      </c>
    </row>
    <row r="756" spans="1:11">
      <c r="A756" s="379" t="s">
        <v>2076</v>
      </c>
      <c r="B756" t="s">
        <v>2077</v>
      </c>
      <c r="C756" s="380"/>
      <c r="D756" s="379" t="str">
        <f t="shared" si="15"/>
        <v>NACE L - 64.3 Activities of trusts, funds and similar financial entities</v>
      </c>
      <c r="K756" t="s">
        <v>3280</v>
      </c>
    </row>
    <row r="757" spans="1:11">
      <c r="A757" s="380" t="s">
        <v>2078</v>
      </c>
      <c r="B757" t="s">
        <v>2079</v>
      </c>
      <c r="C757" s="380"/>
      <c r="D757" s="380" t="str">
        <f t="shared" si="15"/>
        <v>NACE L - 64.31 Activities of money market and non-money market investments funds</v>
      </c>
      <c r="K757" t="s">
        <v>3135</v>
      </c>
    </row>
    <row r="758" spans="1:11">
      <c r="A758" s="380" t="s">
        <v>2080</v>
      </c>
      <c r="B758" t="s">
        <v>2081</v>
      </c>
      <c r="C758" s="380"/>
      <c r="D758" s="380" t="str">
        <f t="shared" si="15"/>
        <v>NACE L - 64.32 Activities of trust, estate and agency accounts</v>
      </c>
      <c r="K758" t="s">
        <v>3136</v>
      </c>
    </row>
    <row r="759" spans="1:11">
      <c r="A759" s="379" t="s">
        <v>2082</v>
      </c>
      <c r="B759" t="s">
        <v>2083</v>
      </c>
      <c r="C759" s="380"/>
      <c r="D759" s="379" t="str">
        <f t="shared" si="15"/>
        <v>NACE L - 64.9 Other financial service activities, except insurance and pension funding</v>
      </c>
      <c r="K759" t="s">
        <v>3602</v>
      </c>
    </row>
    <row r="760" spans="1:11">
      <c r="A760" s="380" t="s">
        <v>2084</v>
      </c>
      <c r="B760" t="s">
        <v>2085</v>
      </c>
      <c r="C760" s="380"/>
      <c r="D760" s="380" t="str">
        <f t="shared" si="15"/>
        <v>NACE L - 64.91 Financial leasing</v>
      </c>
      <c r="K760" t="s">
        <v>3137</v>
      </c>
    </row>
    <row r="761" spans="1:11">
      <c r="A761" s="380" t="s">
        <v>2086</v>
      </c>
      <c r="B761" t="s">
        <v>2087</v>
      </c>
      <c r="C761" s="380"/>
      <c r="D761" s="380" t="str">
        <f t="shared" si="15"/>
        <v>NACE L - 64.92 Other credit granting</v>
      </c>
      <c r="K761" t="s">
        <v>3138</v>
      </c>
    </row>
    <row r="762" spans="1:11">
      <c r="A762" s="380" t="s">
        <v>2088</v>
      </c>
      <c r="B762" t="s">
        <v>2089</v>
      </c>
      <c r="C762" s="380"/>
      <c r="D762" s="380" t="str">
        <f t="shared" si="15"/>
        <v>NACE L - 64.99 Other financial service activities, except insurance and pension funding n.e.c.</v>
      </c>
      <c r="K762" t="s">
        <v>3603</v>
      </c>
    </row>
    <row r="763" spans="1:11">
      <c r="A763" s="376" t="s">
        <v>2090</v>
      </c>
      <c r="B763" t="s">
        <v>2091</v>
      </c>
      <c r="C763" s="380"/>
      <c r="D763" s="376" t="str">
        <f t="shared" si="15"/>
        <v>NACE L - 65 Insurance, reinsurance and pension funding, except compulsory social security</v>
      </c>
      <c r="K763" t="s">
        <v>3604</v>
      </c>
    </row>
    <row r="764" spans="1:11">
      <c r="A764" s="379" t="s">
        <v>2092</v>
      </c>
      <c r="B764" t="s">
        <v>2093</v>
      </c>
      <c r="C764" s="380"/>
      <c r="D764" s="379" t="str">
        <f t="shared" si="15"/>
        <v>NACE L - 65.1 Insurance</v>
      </c>
      <c r="K764" t="s">
        <v>3139</v>
      </c>
    </row>
    <row r="765" spans="1:11">
      <c r="A765" s="380" t="s">
        <v>2094</v>
      </c>
      <c r="B765" t="s">
        <v>2095</v>
      </c>
      <c r="C765" s="380"/>
      <c r="D765" s="380" t="str">
        <f t="shared" si="15"/>
        <v>NACE L - 65.11 Life insurance</v>
      </c>
      <c r="K765" t="s">
        <v>3281</v>
      </c>
    </row>
    <row r="766" spans="1:11">
      <c r="A766" s="380" t="s">
        <v>2096</v>
      </c>
      <c r="B766" t="s">
        <v>2097</v>
      </c>
      <c r="C766" s="380"/>
      <c r="D766" s="380" t="str">
        <f t="shared" si="15"/>
        <v>NACE L - 65.12 Non-life insurance</v>
      </c>
      <c r="K766" t="s">
        <v>3140</v>
      </c>
    </row>
    <row r="767" spans="1:11">
      <c r="A767" s="379" t="s">
        <v>2098</v>
      </c>
      <c r="B767" t="s">
        <v>2099</v>
      </c>
      <c r="C767" s="380"/>
      <c r="D767" s="379" t="str">
        <f t="shared" si="15"/>
        <v>NACE L - 65.2 Reinsurance</v>
      </c>
      <c r="K767" t="s">
        <v>3141</v>
      </c>
    </row>
    <row r="768" spans="1:11">
      <c r="A768" s="380" t="s">
        <v>2100</v>
      </c>
      <c r="B768" t="s">
        <v>2101</v>
      </c>
      <c r="C768" s="380"/>
      <c r="D768" s="380" t="str">
        <f t="shared" si="15"/>
        <v>NACE L - 65.20 Reinsurance</v>
      </c>
      <c r="K768" t="s">
        <v>3142</v>
      </c>
    </row>
    <row r="769" spans="1:11">
      <c r="A769" s="379" t="s">
        <v>2102</v>
      </c>
      <c r="B769" t="s">
        <v>2103</v>
      </c>
      <c r="C769" s="380"/>
      <c r="D769" s="379" t="str">
        <f t="shared" si="15"/>
        <v>NACE L - 65.3 Pension funding</v>
      </c>
      <c r="K769" t="s">
        <v>3143</v>
      </c>
    </row>
    <row r="770" spans="1:11">
      <c r="A770" s="380" t="s">
        <v>2104</v>
      </c>
      <c r="B770" t="s">
        <v>2105</v>
      </c>
      <c r="C770" s="380"/>
      <c r="D770" s="380" t="str">
        <f t="shared" ref="D770:D833" si="16">_xlfn.CONCAT("NACE ", A770)</f>
        <v>NACE L - 65.30 Pension funding</v>
      </c>
      <c r="K770" t="s">
        <v>3144</v>
      </c>
    </row>
    <row r="771" spans="1:11">
      <c r="A771" s="376" t="s">
        <v>2106</v>
      </c>
      <c r="B771" t="s">
        <v>2107</v>
      </c>
      <c r="C771" s="380"/>
      <c r="D771" s="376" t="str">
        <f t="shared" si="16"/>
        <v>NACE L - 66 Activities auxiliary to financial services and insurance activities</v>
      </c>
      <c r="K771" t="s">
        <v>3145</v>
      </c>
    </row>
    <row r="772" spans="1:11">
      <c r="A772" s="379" t="s">
        <v>2108</v>
      </c>
      <c r="B772" t="s">
        <v>2109</v>
      </c>
      <c r="C772" s="380"/>
      <c r="D772" s="379" t="str">
        <f t="shared" si="16"/>
        <v>NACE L - 66.1 Activities auxiliary to financial services, except insurance and pension funding</v>
      </c>
      <c r="K772" t="s">
        <v>3146</v>
      </c>
    </row>
    <row r="773" spans="1:11">
      <c r="A773" s="380" t="s">
        <v>2110</v>
      </c>
      <c r="B773" t="s">
        <v>2111</v>
      </c>
      <c r="C773" s="380"/>
      <c r="D773" s="380" t="str">
        <f t="shared" si="16"/>
        <v>NACE L - 66.11 Administration of financial markets</v>
      </c>
      <c r="K773" t="s">
        <v>3282</v>
      </c>
    </row>
    <row r="774" spans="1:11">
      <c r="A774" s="380" t="s">
        <v>2112</v>
      </c>
      <c r="B774" t="s">
        <v>2113</v>
      </c>
      <c r="C774" s="380"/>
      <c r="D774" s="380" t="str">
        <f t="shared" si="16"/>
        <v>NACE L - 66.12 Security and commodity contracts brokerage</v>
      </c>
      <c r="K774" t="s">
        <v>3147</v>
      </c>
    </row>
    <row r="775" spans="1:11">
      <c r="A775" s="380" t="s">
        <v>2114</v>
      </c>
      <c r="B775" t="s">
        <v>2115</v>
      </c>
      <c r="C775" s="380"/>
      <c r="D775" s="380" t="str">
        <f t="shared" si="16"/>
        <v>NACE L - 66.19 Other activities auxiliary to financial services, except insurance and pension funding</v>
      </c>
      <c r="K775" t="s">
        <v>3148</v>
      </c>
    </row>
    <row r="776" spans="1:11">
      <c r="A776" s="379" t="s">
        <v>2116</v>
      </c>
      <c r="B776" t="s">
        <v>2117</v>
      </c>
      <c r="C776" s="380"/>
      <c r="D776" s="379" t="str">
        <f t="shared" si="16"/>
        <v>NACE L - 66.2 Activities auxiliary to insurance and pension funding</v>
      </c>
      <c r="K776" t="s">
        <v>3605</v>
      </c>
    </row>
    <row r="777" spans="1:11">
      <c r="A777" s="380" t="s">
        <v>2118</v>
      </c>
      <c r="B777" t="s">
        <v>2119</v>
      </c>
      <c r="C777" s="380"/>
      <c r="D777" s="380" t="str">
        <f t="shared" si="16"/>
        <v>NACE L - 66.21 Risk and damage evaluation</v>
      </c>
      <c r="K777" t="s">
        <v>3149</v>
      </c>
    </row>
    <row r="778" spans="1:11">
      <c r="A778" s="380" t="s">
        <v>2120</v>
      </c>
      <c r="B778" t="s">
        <v>2121</v>
      </c>
      <c r="C778" s="380"/>
      <c r="D778" s="380" t="str">
        <f t="shared" si="16"/>
        <v>NACE L - 66.22 Activities of insurance agents and brokers</v>
      </c>
      <c r="K778" t="s">
        <v>3606</v>
      </c>
    </row>
    <row r="779" spans="1:11">
      <c r="A779" s="380" t="s">
        <v>2122</v>
      </c>
      <c r="B779" t="s">
        <v>2123</v>
      </c>
      <c r="C779" s="380"/>
      <c r="D779" s="380" t="str">
        <f t="shared" si="16"/>
        <v>NACE L - 66.29 Activities auxiliary to insurance and pension funding n.e.c.</v>
      </c>
      <c r="K779" t="s">
        <v>3150</v>
      </c>
    </row>
    <row r="780" spans="1:11">
      <c r="A780" s="379" t="s">
        <v>2124</v>
      </c>
      <c r="B780" t="s">
        <v>2125</v>
      </c>
      <c r="C780" s="380"/>
      <c r="D780" s="379" t="str">
        <f t="shared" si="16"/>
        <v>NACE L - 66.3 Fund management activities</v>
      </c>
      <c r="K780" t="s">
        <v>2771</v>
      </c>
    </row>
    <row r="781" spans="1:11">
      <c r="A781" s="380" t="s">
        <v>2126</v>
      </c>
      <c r="B781" t="s">
        <v>2127</v>
      </c>
      <c r="C781" s="380"/>
      <c r="D781" s="380" t="str">
        <f t="shared" si="16"/>
        <v>NACE L - 66.30 Fund management activities</v>
      </c>
      <c r="K781" t="s">
        <v>3283</v>
      </c>
    </row>
    <row r="782" spans="1:11">
      <c r="A782" s="377" t="s">
        <v>2128</v>
      </c>
      <c r="B782" t="s">
        <v>2129</v>
      </c>
      <c r="C782" s="380"/>
      <c r="D782" s="377" t="str">
        <f t="shared" si="16"/>
        <v>NACE M - REAL ESTATE ACTIVITIES</v>
      </c>
      <c r="K782" t="s">
        <v>3151</v>
      </c>
    </row>
    <row r="783" spans="1:11">
      <c r="A783" s="376" t="s">
        <v>2130</v>
      </c>
      <c r="B783" t="s">
        <v>2131</v>
      </c>
      <c r="C783" s="380"/>
      <c r="D783" s="376" t="str">
        <f t="shared" si="16"/>
        <v>NACE M - 68 Real estate activities</v>
      </c>
      <c r="K783" t="s">
        <v>3152</v>
      </c>
    </row>
    <row r="784" spans="1:11">
      <c r="A784" s="379" t="s">
        <v>2132</v>
      </c>
      <c r="B784" t="s">
        <v>2133</v>
      </c>
      <c r="C784" s="380"/>
      <c r="D784" s="379" t="str">
        <f t="shared" si="16"/>
        <v>NACE M - 68.1 Real estate activities with own property and development of building projects</v>
      </c>
      <c r="K784" t="s">
        <v>3153</v>
      </c>
    </row>
    <row r="785" spans="1:11">
      <c r="A785" s="380" t="s">
        <v>2134</v>
      </c>
      <c r="B785" t="s">
        <v>2135</v>
      </c>
      <c r="C785" s="380"/>
      <c r="D785" s="380" t="str">
        <f t="shared" si="16"/>
        <v>NACE M - 68.11 Buying and selling of own real estate</v>
      </c>
      <c r="K785" t="s">
        <v>3154</v>
      </c>
    </row>
    <row r="786" spans="1:11">
      <c r="A786" s="380" t="s">
        <v>2136</v>
      </c>
      <c r="B786" t="s">
        <v>2137</v>
      </c>
      <c r="C786" s="380"/>
      <c r="D786" s="380" t="str">
        <f t="shared" si="16"/>
        <v>NACE M - 68.12 Development of building projects</v>
      </c>
      <c r="K786" t="s">
        <v>3155</v>
      </c>
    </row>
    <row r="787" spans="1:11">
      <c r="A787" s="379" t="s">
        <v>2138</v>
      </c>
      <c r="B787" t="s">
        <v>2139</v>
      </c>
      <c r="C787" s="380"/>
      <c r="D787" s="379" t="str">
        <f t="shared" si="16"/>
        <v>NACE M - 68.2 Rental and operating of own or leased real estate</v>
      </c>
      <c r="K787" t="s">
        <v>3156</v>
      </c>
    </row>
    <row r="788" spans="1:11">
      <c r="A788" s="380" t="s">
        <v>2140</v>
      </c>
      <c r="B788" t="s">
        <v>2141</v>
      </c>
      <c r="C788" s="380"/>
      <c r="D788" s="380" t="str">
        <f t="shared" si="16"/>
        <v>NACE M - 68.20 Rental and operating of own or leased real estate</v>
      </c>
      <c r="K788" t="s">
        <v>3157</v>
      </c>
    </row>
    <row r="789" spans="1:11">
      <c r="A789" s="379" t="s">
        <v>2142</v>
      </c>
      <c r="B789" t="s">
        <v>2143</v>
      </c>
      <c r="C789" s="380"/>
      <c r="D789" s="379" t="str">
        <f t="shared" si="16"/>
        <v>NACE M - 68.3 Real estate activities on a fee or contract basis</v>
      </c>
      <c r="K789" t="s">
        <v>3158</v>
      </c>
    </row>
    <row r="790" spans="1:11">
      <c r="A790" s="380" t="s">
        <v>2144</v>
      </c>
      <c r="B790" t="s">
        <v>2145</v>
      </c>
      <c r="C790" s="380"/>
      <c r="D790" s="380" t="str">
        <f t="shared" si="16"/>
        <v>NACE M - 68.31 Intermediation service activities for real estate activities</v>
      </c>
      <c r="K790" t="s">
        <v>3159</v>
      </c>
    </row>
    <row r="791" spans="1:11">
      <c r="A791" s="380" t="s">
        <v>2146</v>
      </c>
      <c r="B791" t="s">
        <v>2147</v>
      </c>
      <c r="C791" s="380"/>
      <c r="D791" s="380" t="str">
        <f t="shared" si="16"/>
        <v>NACE M - 68.32 Other real estate activities on a fee or contract basis</v>
      </c>
      <c r="K791" t="s">
        <v>3160</v>
      </c>
    </row>
    <row r="792" spans="1:11">
      <c r="A792" s="377" t="s">
        <v>2148</v>
      </c>
      <c r="B792" t="s">
        <v>2149</v>
      </c>
      <c r="C792" s="380"/>
      <c r="D792" s="377" t="str">
        <f t="shared" si="16"/>
        <v>NACE N - PROFESSIONAL, SCIENTIFIC AND TECHNICAL ACTIVITIES</v>
      </c>
      <c r="K792" t="s">
        <v>3607</v>
      </c>
    </row>
    <row r="793" spans="1:11">
      <c r="A793" s="376" t="s">
        <v>2150</v>
      </c>
      <c r="B793" t="s">
        <v>2151</v>
      </c>
      <c r="C793" s="380"/>
      <c r="D793" s="376" t="str">
        <f t="shared" si="16"/>
        <v>NACE N - 69 Legal and accounting activities</v>
      </c>
      <c r="K793" t="s">
        <v>3608</v>
      </c>
    </row>
    <row r="794" spans="1:11">
      <c r="A794" s="379" t="s">
        <v>2152</v>
      </c>
      <c r="B794" t="s">
        <v>2153</v>
      </c>
      <c r="C794" s="380"/>
      <c r="D794" s="379" t="str">
        <f t="shared" si="16"/>
        <v>NACE N - 69.1 Legal activities</v>
      </c>
      <c r="K794" t="s">
        <v>3609</v>
      </c>
    </row>
    <row r="795" spans="1:11">
      <c r="A795" s="380" t="s">
        <v>2154</v>
      </c>
      <c r="B795" t="s">
        <v>2155</v>
      </c>
      <c r="C795" s="380"/>
      <c r="D795" s="380" t="str">
        <f t="shared" si="16"/>
        <v>NACE N - 69.10 Legal activities</v>
      </c>
      <c r="K795" t="s">
        <v>3610</v>
      </c>
    </row>
    <row r="796" spans="1:11">
      <c r="A796" s="379" t="s">
        <v>2156</v>
      </c>
      <c r="B796" t="s">
        <v>2157</v>
      </c>
      <c r="C796" s="380"/>
      <c r="D796" s="379" t="str">
        <f t="shared" si="16"/>
        <v>NACE N - 69.2 Accounting, bookkeeping and auditing activities; tax consultancy</v>
      </c>
      <c r="K796" t="s">
        <v>3611</v>
      </c>
    </row>
    <row r="797" spans="1:11">
      <c r="A797" s="380" t="s">
        <v>2158</v>
      </c>
      <c r="B797" t="s">
        <v>2159</v>
      </c>
      <c r="C797" s="380"/>
      <c r="D797" s="380" t="str">
        <f t="shared" si="16"/>
        <v>NACE N - 69.20 Accounting, bookkeeping and auditing activities; tax consultancy</v>
      </c>
      <c r="K797" t="s">
        <v>3612</v>
      </c>
    </row>
    <row r="798" spans="1:11">
      <c r="A798" s="376" t="s">
        <v>2160</v>
      </c>
      <c r="B798" t="s">
        <v>2161</v>
      </c>
      <c r="C798" s="380"/>
      <c r="D798" s="376" t="str">
        <f t="shared" si="16"/>
        <v>NACE N - 70 Activities of head offices and management consultancy</v>
      </c>
      <c r="K798" t="s">
        <v>3161</v>
      </c>
    </row>
    <row r="799" spans="1:11">
      <c r="A799" s="379" t="s">
        <v>2162</v>
      </c>
      <c r="B799" t="s">
        <v>2163</v>
      </c>
      <c r="C799" s="380"/>
      <c r="D799" s="379" t="str">
        <f t="shared" si="16"/>
        <v>NACE N - 70.1 Activities of head offices</v>
      </c>
      <c r="K799" t="s">
        <v>3613</v>
      </c>
    </row>
    <row r="800" spans="1:11">
      <c r="A800" s="380" t="s">
        <v>2164</v>
      </c>
      <c r="B800" t="s">
        <v>2165</v>
      </c>
      <c r="C800" s="380"/>
      <c r="D800" s="380" t="str">
        <f t="shared" si="16"/>
        <v>NACE N - 70.10 Activities of head offices</v>
      </c>
      <c r="K800" t="s">
        <v>3162</v>
      </c>
    </row>
    <row r="801" spans="1:11">
      <c r="A801" s="379" t="s">
        <v>2166</v>
      </c>
      <c r="B801" t="s">
        <v>2167</v>
      </c>
      <c r="C801" s="380"/>
      <c r="D801" s="379" t="str">
        <f t="shared" si="16"/>
        <v>NACE N - 70.2 Business and other management consultancy activities</v>
      </c>
      <c r="K801" t="s">
        <v>3614</v>
      </c>
    </row>
    <row r="802" spans="1:11">
      <c r="A802" s="380" t="s">
        <v>2168</v>
      </c>
      <c r="B802" t="s">
        <v>2169</v>
      </c>
      <c r="C802" s="380"/>
      <c r="D802" s="380" t="str">
        <f t="shared" si="16"/>
        <v>NACE N - 70.20 Business and other management consultancy activities</v>
      </c>
      <c r="K802" t="s">
        <v>3615</v>
      </c>
    </row>
    <row r="803" spans="1:11">
      <c r="A803" s="376" t="s">
        <v>2170</v>
      </c>
      <c r="B803" t="s">
        <v>2171</v>
      </c>
      <c r="C803" s="380"/>
      <c r="D803" s="376" t="str">
        <f t="shared" si="16"/>
        <v>NACE N - 71 Architectural and engineering activities; technical testing and analysis</v>
      </c>
      <c r="K803" t="s">
        <v>3163</v>
      </c>
    </row>
    <row r="804" spans="1:11">
      <c r="A804" s="379" t="s">
        <v>2172</v>
      </c>
      <c r="B804" t="s">
        <v>2173</v>
      </c>
      <c r="C804" s="380"/>
      <c r="D804" s="379" t="str">
        <f t="shared" si="16"/>
        <v>NACE N - 71.1 Architectural and engineering activities and related technical consultancy</v>
      </c>
      <c r="K804" t="s">
        <v>3616</v>
      </c>
    </row>
    <row r="805" spans="1:11">
      <c r="A805" s="380" t="s">
        <v>2174</v>
      </c>
      <c r="B805" t="s">
        <v>2175</v>
      </c>
      <c r="C805" s="380"/>
      <c r="D805" s="380" t="str">
        <f t="shared" si="16"/>
        <v>NACE N - 71.11 Architectural activities</v>
      </c>
      <c r="K805" t="s">
        <v>3164</v>
      </c>
    </row>
    <row r="806" spans="1:11">
      <c r="A806" s="380" t="s">
        <v>2176</v>
      </c>
      <c r="B806" t="s">
        <v>2177</v>
      </c>
      <c r="C806" s="380"/>
      <c r="D806" s="380" t="str">
        <f t="shared" si="16"/>
        <v>NACE N - 71.12 Engineering activities and related technical consultancy</v>
      </c>
      <c r="K806" t="s">
        <v>3617</v>
      </c>
    </row>
    <row r="807" spans="1:11">
      <c r="A807" s="379" t="s">
        <v>2178</v>
      </c>
      <c r="B807" t="s">
        <v>2179</v>
      </c>
      <c r="C807" s="380"/>
      <c r="D807" s="379" t="str">
        <f t="shared" si="16"/>
        <v>NACE N - 71.2 Technical testing and analysis</v>
      </c>
      <c r="K807" t="s">
        <v>3165</v>
      </c>
    </row>
    <row r="808" spans="1:11">
      <c r="A808" s="380" t="s">
        <v>2180</v>
      </c>
      <c r="B808" t="s">
        <v>2181</v>
      </c>
      <c r="C808" s="380"/>
      <c r="D808" s="380" t="str">
        <f t="shared" si="16"/>
        <v>NACE N - 71.20 Technical testing and analysis</v>
      </c>
      <c r="K808" t="s">
        <v>3618</v>
      </c>
    </row>
    <row r="809" spans="1:11">
      <c r="A809" s="376" t="s">
        <v>2182</v>
      </c>
      <c r="B809" t="s">
        <v>2183</v>
      </c>
      <c r="C809" s="380"/>
      <c r="D809" s="376" t="str">
        <f t="shared" si="16"/>
        <v>NACE N - 72 Scientific research and development</v>
      </c>
      <c r="K809" t="s">
        <v>3323</v>
      </c>
    </row>
    <row r="810" spans="1:11">
      <c r="A810" s="379" t="s">
        <v>2184</v>
      </c>
      <c r="B810" t="s">
        <v>2185</v>
      </c>
      <c r="C810" s="380"/>
      <c r="D810" s="379" t="str">
        <f t="shared" si="16"/>
        <v>NACE N - 72.1 Research and experimental development on natural sciences and engineering</v>
      </c>
      <c r="K810" t="s">
        <v>3619</v>
      </c>
    </row>
    <row r="811" spans="1:11">
      <c r="A811" s="380" t="s">
        <v>2186</v>
      </c>
      <c r="B811" t="s">
        <v>2187</v>
      </c>
      <c r="C811" s="380"/>
      <c r="D811" s="380" t="str">
        <f t="shared" si="16"/>
        <v>NACE N - 72.10 Research and experimental development on natural sciences and engineering</v>
      </c>
      <c r="K811" t="s">
        <v>3286</v>
      </c>
    </row>
    <row r="812" spans="1:11">
      <c r="A812" s="379" t="s">
        <v>2188</v>
      </c>
      <c r="B812" t="s">
        <v>2189</v>
      </c>
      <c r="C812" s="380"/>
      <c r="D812" s="379" t="str">
        <f t="shared" si="16"/>
        <v>NACE N - 72.2 Research and experimental development on social sciences and humanities</v>
      </c>
      <c r="K812" t="s">
        <v>3284</v>
      </c>
    </row>
    <row r="813" spans="1:11">
      <c r="A813" s="380" t="s">
        <v>2190</v>
      </c>
      <c r="B813" t="s">
        <v>2191</v>
      </c>
      <c r="C813" s="380"/>
      <c r="D813" s="380" t="str">
        <f t="shared" si="16"/>
        <v>NACE N - 72.20 Research and experimental development on social sciences and humanities</v>
      </c>
      <c r="K813" t="s">
        <v>3166</v>
      </c>
    </row>
    <row r="814" spans="1:11">
      <c r="A814" s="376" t="s">
        <v>2192</v>
      </c>
      <c r="B814" t="s">
        <v>2193</v>
      </c>
      <c r="C814" s="380"/>
      <c r="D814" s="376" t="str">
        <f t="shared" si="16"/>
        <v>NACE N - 73 Activities of advertising, market research and public relations</v>
      </c>
      <c r="K814" t="s">
        <v>3167</v>
      </c>
    </row>
    <row r="815" spans="1:11">
      <c r="A815" s="379" t="s">
        <v>2194</v>
      </c>
      <c r="B815" t="s">
        <v>2195</v>
      </c>
      <c r="C815" s="380"/>
      <c r="D815" s="379" t="str">
        <f t="shared" si="16"/>
        <v>NACE N - 73.1 Advertising</v>
      </c>
      <c r="K815" t="s">
        <v>3168</v>
      </c>
    </row>
    <row r="816" spans="1:11">
      <c r="A816" s="380" t="s">
        <v>2196</v>
      </c>
      <c r="B816" t="s">
        <v>2197</v>
      </c>
      <c r="C816" s="380"/>
      <c r="D816" s="380" t="str">
        <f t="shared" si="16"/>
        <v>NACE N - 73.11 Activities of advertising agencies</v>
      </c>
      <c r="K816" t="s">
        <v>3285</v>
      </c>
    </row>
    <row r="817" spans="1:11">
      <c r="A817" s="380" t="s">
        <v>2198</v>
      </c>
      <c r="B817" t="s">
        <v>2199</v>
      </c>
      <c r="C817" s="380"/>
      <c r="D817" s="380" t="str">
        <f t="shared" si="16"/>
        <v>NACE N - 73.12 Media representation</v>
      </c>
      <c r="K817" t="s">
        <v>3169</v>
      </c>
    </row>
    <row r="818" spans="1:11">
      <c r="A818" s="379" t="s">
        <v>2200</v>
      </c>
      <c r="B818" t="s">
        <v>2201</v>
      </c>
      <c r="C818" s="380"/>
      <c r="D818" s="379" t="str">
        <f t="shared" si="16"/>
        <v>NACE N - 73.2 Market research and public opinion polling</v>
      </c>
      <c r="K818" t="s">
        <v>3170</v>
      </c>
    </row>
    <row r="819" spans="1:11">
      <c r="A819" s="380" t="s">
        <v>2202</v>
      </c>
      <c r="B819" t="s">
        <v>2203</v>
      </c>
      <c r="C819" s="380"/>
      <c r="D819" s="380" t="str">
        <f t="shared" si="16"/>
        <v>NACE N - 73.20 Market research and public opinion polling</v>
      </c>
      <c r="K819" t="s">
        <v>3171</v>
      </c>
    </row>
    <row r="820" spans="1:11">
      <c r="A820" s="379" t="s">
        <v>2204</v>
      </c>
      <c r="B820" t="s">
        <v>2205</v>
      </c>
      <c r="C820" s="380"/>
      <c r="D820" s="379" t="str">
        <f t="shared" si="16"/>
        <v>NACE N - 73.3 Public relations and communication activities</v>
      </c>
      <c r="K820" t="s">
        <v>3172</v>
      </c>
    </row>
    <row r="821" spans="1:11">
      <c r="A821" s="380" t="s">
        <v>2206</v>
      </c>
      <c r="B821" t="s">
        <v>2207</v>
      </c>
      <c r="C821" s="380"/>
      <c r="D821" s="380" t="str">
        <f t="shared" si="16"/>
        <v>NACE N - 73.30 Public relations and communication activities</v>
      </c>
    </row>
    <row r="822" spans="1:11">
      <c r="A822" s="376" t="s">
        <v>2208</v>
      </c>
      <c r="B822" t="s">
        <v>2209</v>
      </c>
      <c r="C822" s="380"/>
      <c r="D822" s="376" t="str">
        <f t="shared" si="16"/>
        <v>NACE N - 74 Other professional, scientific and technical activities</v>
      </c>
    </row>
    <row r="823" spans="1:11">
      <c r="A823" s="379" t="s">
        <v>2210</v>
      </c>
      <c r="B823" t="s">
        <v>2211</v>
      </c>
      <c r="C823" s="380"/>
      <c r="D823" s="379" t="str">
        <f t="shared" si="16"/>
        <v>NACE N - 74.1 Specialised design activities</v>
      </c>
    </row>
    <row r="824" spans="1:11">
      <c r="A824" s="380" t="s">
        <v>2212</v>
      </c>
      <c r="B824" t="s">
        <v>2213</v>
      </c>
      <c r="C824" s="380"/>
      <c r="D824" s="380" t="str">
        <f t="shared" si="16"/>
        <v>NACE N - 74.11 Industrial product and fashion design activities</v>
      </c>
    </row>
    <row r="825" spans="1:11">
      <c r="A825" s="380" t="s">
        <v>2214</v>
      </c>
      <c r="B825" t="s">
        <v>2215</v>
      </c>
      <c r="C825" s="380"/>
      <c r="D825" s="380" t="str">
        <f t="shared" si="16"/>
        <v>NACE N - 74.12 Graphic design and visual communication activities</v>
      </c>
    </row>
    <row r="826" spans="1:11">
      <c r="A826" s="380" t="s">
        <v>2216</v>
      </c>
      <c r="B826" t="s">
        <v>2217</v>
      </c>
      <c r="C826" s="380"/>
      <c r="D826" s="380" t="str">
        <f t="shared" si="16"/>
        <v>NACE N - 74.13 Interior design activities</v>
      </c>
    </row>
    <row r="827" spans="1:11">
      <c r="A827" s="380" t="s">
        <v>2218</v>
      </c>
      <c r="B827" t="s">
        <v>2219</v>
      </c>
      <c r="C827" s="380"/>
      <c r="D827" s="380" t="str">
        <f t="shared" si="16"/>
        <v>NACE N - 74.14 Other specialised design activities</v>
      </c>
    </row>
    <row r="828" spans="1:11">
      <c r="A828" s="379" t="s">
        <v>2220</v>
      </c>
      <c r="B828" t="s">
        <v>2221</v>
      </c>
      <c r="C828" s="380"/>
      <c r="D828" s="379" t="str">
        <f t="shared" si="16"/>
        <v>NACE N - 74.2 Photographic activities</v>
      </c>
    </row>
    <row r="829" spans="1:11">
      <c r="A829" s="380" t="s">
        <v>2222</v>
      </c>
      <c r="B829" t="s">
        <v>2223</v>
      </c>
      <c r="C829" s="380"/>
      <c r="D829" s="380" t="str">
        <f t="shared" si="16"/>
        <v>NACE N - 74.20 Photographic activities</v>
      </c>
    </row>
    <row r="830" spans="1:11">
      <c r="A830" s="379" t="s">
        <v>2224</v>
      </c>
      <c r="B830" t="s">
        <v>2225</v>
      </c>
      <c r="C830" s="380"/>
      <c r="D830" s="379" t="str">
        <f t="shared" si="16"/>
        <v>NACE N - 74.3 Translation and interpretation activities</v>
      </c>
    </row>
    <row r="831" spans="1:11">
      <c r="A831" s="380" t="s">
        <v>2226</v>
      </c>
      <c r="B831" t="s">
        <v>2227</v>
      </c>
      <c r="C831" s="380"/>
      <c r="D831" s="380" t="str">
        <f t="shared" si="16"/>
        <v>NACE N - 74.30 Translation and interpretation activities</v>
      </c>
    </row>
    <row r="832" spans="1:11">
      <c r="A832" s="379" t="s">
        <v>2228</v>
      </c>
      <c r="B832" t="s">
        <v>2229</v>
      </c>
      <c r="C832" s="380"/>
      <c r="D832" s="379" t="str">
        <f t="shared" si="16"/>
        <v>NACE N - 74.9 Other professional, scientific and technical activities n.e.c.</v>
      </c>
    </row>
    <row r="833" spans="1:4">
      <c r="A833" s="380" t="s">
        <v>2230</v>
      </c>
      <c r="B833" t="s">
        <v>2231</v>
      </c>
      <c r="C833" s="380"/>
      <c r="D833" s="380" t="str">
        <f t="shared" si="16"/>
        <v>NACE N - 74.91 Patent brokering and marketing service activities</v>
      </c>
    </row>
    <row r="834" spans="1:4">
      <c r="A834" s="380" t="s">
        <v>2232</v>
      </c>
      <c r="B834" t="s">
        <v>2233</v>
      </c>
      <c r="C834" s="380"/>
      <c r="D834" s="380" t="str">
        <f t="shared" ref="D834:D897" si="17">_xlfn.CONCAT("NACE ", A834)</f>
        <v>NACE N - 74.99 All other professional, scientific and technical activities n.e.c.</v>
      </c>
    </row>
    <row r="835" spans="1:4">
      <c r="A835" s="376" t="s">
        <v>2234</v>
      </c>
      <c r="B835" t="s">
        <v>2235</v>
      </c>
      <c r="C835" s="380"/>
      <c r="D835" s="376" t="str">
        <f t="shared" si="17"/>
        <v>NACE N - 75 Veterinary activities</v>
      </c>
    </row>
    <row r="836" spans="1:4">
      <c r="A836" s="379" t="s">
        <v>2236</v>
      </c>
      <c r="B836" t="s">
        <v>2237</v>
      </c>
      <c r="C836" s="380"/>
      <c r="D836" s="379" t="str">
        <f t="shared" si="17"/>
        <v>NACE N - 75.0 Veterinary activities</v>
      </c>
    </row>
    <row r="837" spans="1:4">
      <c r="A837" s="380" t="s">
        <v>2238</v>
      </c>
      <c r="B837" t="s">
        <v>2239</v>
      </c>
      <c r="C837" s="380"/>
      <c r="D837" s="380" t="str">
        <f t="shared" si="17"/>
        <v>NACE N - 75.00 Veterinary activities</v>
      </c>
    </row>
    <row r="838" spans="1:4">
      <c r="A838" s="377" t="s">
        <v>2240</v>
      </c>
      <c r="B838" t="s">
        <v>2241</v>
      </c>
      <c r="C838" s="380"/>
      <c r="D838" s="377" t="str">
        <f t="shared" si="17"/>
        <v>NACE O - ADMINISTRATIVE AND SUPPORT SERVICE ACTIVITIES</v>
      </c>
    </row>
    <row r="839" spans="1:4">
      <c r="A839" s="376" t="s">
        <v>2242</v>
      </c>
      <c r="B839" t="s">
        <v>2243</v>
      </c>
      <c r="C839" s="380"/>
      <c r="D839" s="376" t="str">
        <f t="shared" si="17"/>
        <v>NACE O - 77 Rental and leasing activities</v>
      </c>
    </row>
    <row r="840" spans="1:4">
      <c r="A840" s="379" t="s">
        <v>2244</v>
      </c>
      <c r="B840" t="s">
        <v>2245</v>
      </c>
      <c r="C840" s="380"/>
      <c r="D840" s="379" t="str">
        <f t="shared" si="17"/>
        <v>NACE O - 77.1 Rental and leasing of motor vehicles</v>
      </c>
    </row>
    <row r="841" spans="1:4">
      <c r="A841" s="380" t="s">
        <v>2246</v>
      </c>
      <c r="B841" t="s">
        <v>2247</v>
      </c>
      <c r="C841" s="380"/>
      <c r="D841" s="380" t="str">
        <f t="shared" si="17"/>
        <v>NACE O - 77.11 Rental and leasing of cars and light motor vehicles</v>
      </c>
    </row>
    <row r="842" spans="1:4">
      <c r="A842" s="380" t="s">
        <v>2248</v>
      </c>
      <c r="B842" t="s">
        <v>2249</v>
      </c>
      <c r="C842" s="380"/>
      <c r="D842" s="380" t="str">
        <f t="shared" si="17"/>
        <v>NACE O - 77.12 Rental and leasing of trucks</v>
      </c>
    </row>
    <row r="843" spans="1:4">
      <c r="A843" s="379" t="s">
        <v>2250</v>
      </c>
      <c r="B843" t="s">
        <v>2251</v>
      </c>
      <c r="C843" s="380"/>
      <c r="D843" s="379" t="str">
        <f t="shared" si="17"/>
        <v>NACE O - 77.2 Rental and leasing of personal and household goods</v>
      </c>
    </row>
    <row r="844" spans="1:4">
      <c r="A844" s="380" t="s">
        <v>2252</v>
      </c>
      <c r="B844" t="s">
        <v>2253</v>
      </c>
      <c r="C844" s="380"/>
      <c r="D844" s="380" t="str">
        <f t="shared" si="17"/>
        <v>NACE O - 77.21 Rental and leasing of recreational and sports goods</v>
      </c>
    </row>
    <row r="845" spans="1:4">
      <c r="A845" s="380" t="s">
        <v>2254</v>
      </c>
      <c r="B845" t="s">
        <v>2255</v>
      </c>
      <c r="C845" s="380"/>
      <c r="D845" s="380" t="str">
        <f t="shared" si="17"/>
        <v>NACE O - 77.22 Rental and leasing of other personal and household goods</v>
      </c>
    </row>
    <row r="846" spans="1:4">
      <c r="A846" s="379" t="s">
        <v>2256</v>
      </c>
      <c r="B846" t="s">
        <v>2257</v>
      </c>
      <c r="C846" s="380"/>
      <c r="D846" s="379" t="str">
        <f t="shared" si="17"/>
        <v>NACE O - 77.3 Rental and leasing of other machinery, equipment and tangible goods</v>
      </c>
    </row>
    <row r="847" spans="1:4">
      <c r="A847" s="380" t="s">
        <v>2258</v>
      </c>
      <c r="B847" t="s">
        <v>2259</v>
      </c>
      <c r="C847" s="380"/>
      <c r="D847" s="380" t="str">
        <f t="shared" si="17"/>
        <v>NACE O - 77.31 Rental and leasing of agricultural machinery and equipment</v>
      </c>
    </row>
    <row r="848" spans="1:4">
      <c r="A848" s="380" t="s">
        <v>2260</v>
      </c>
      <c r="B848" t="s">
        <v>2261</v>
      </c>
      <c r="C848" s="380"/>
      <c r="D848" s="380" t="str">
        <f t="shared" si="17"/>
        <v>NACE O - 77.32 Rental and leasing of construction and civil engineering machinery and equipment</v>
      </c>
    </row>
    <row r="849" spans="1:4">
      <c r="A849" s="380" t="s">
        <v>2262</v>
      </c>
      <c r="B849" t="s">
        <v>2263</v>
      </c>
      <c r="C849" s="380"/>
      <c r="D849" s="380" t="str">
        <f t="shared" si="17"/>
        <v>NACE O - 77.33 Rental and leasing of office machinery, equipment and computers</v>
      </c>
    </row>
    <row r="850" spans="1:4">
      <c r="A850" s="380" t="s">
        <v>2264</v>
      </c>
      <c r="B850" t="s">
        <v>2265</v>
      </c>
      <c r="C850" s="380"/>
      <c r="D850" s="380" t="str">
        <f t="shared" si="17"/>
        <v>NACE O - 77.34 Rental and leasing of water transport equipment</v>
      </c>
    </row>
    <row r="851" spans="1:4">
      <c r="A851" s="380" t="s">
        <v>2266</v>
      </c>
      <c r="B851" t="s">
        <v>2267</v>
      </c>
      <c r="C851" s="380"/>
      <c r="D851" s="380" t="str">
        <f t="shared" si="17"/>
        <v>NACE O - 77.35 Rental and leasing of air transport equipment</v>
      </c>
    </row>
    <row r="852" spans="1:4">
      <c r="A852" s="380" t="s">
        <v>2268</v>
      </c>
      <c r="B852" t="s">
        <v>2269</v>
      </c>
      <c r="C852" s="380"/>
      <c r="D852" s="380" t="str">
        <f t="shared" si="17"/>
        <v>NACE O - 77.39 Rental and leasing of other machinery, equipment and tangible goods n.e.c.</v>
      </c>
    </row>
    <row r="853" spans="1:4">
      <c r="A853" s="379" t="s">
        <v>2270</v>
      </c>
      <c r="B853" t="s">
        <v>2271</v>
      </c>
      <c r="C853" s="380"/>
      <c r="D853" s="379" t="str">
        <f t="shared" si="17"/>
        <v>NACE O - 77.4 Leasing of intellectual property and similar products, except copyrighted works</v>
      </c>
    </row>
    <row r="854" spans="1:4">
      <c r="A854" s="380" t="s">
        <v>2272</v>
      </c>
      <c r="B854" t="s">
        <v>2273</v>
      </c>
      <c r="C854" s="380"/>
      <c r="D854" s="380" t="str">
        <f t="shared" si="17"/>
        <v>NACE O - 77.40 Leasing of intellectual property and similar products, except copyrighted works</v>
      </c>
    </row>
    <row r="855" spans="1:4">
      <c r="A855" s="379" t="s">
        <v>2274</v>
      </c>
      <c r="B855" t="s">
        <v>2275</v>
      </c>
      <c r="C855" s="380"/>
      <c r="D855" s="379" t="str">
        <f t="shared" si="17"/>
        <v>NACE O - 77.5 Intermediation service activities for rental and leasing of tangible goods and non-financial intangible assets</v>
      </c>
    </row>
    <row r="856" spans="1:4">
      <c r="A856" s="380" t="s">
        <v>2276</v>
      </c>
      <c r="B856" t="s">
        <v>2277</v>
      </c>
      <c r="C856" s="380"/>
      <c r="D856" s="380" t="str">
        <f t="shared" si="17"/>
        <v>NACE O - 77.51 Intermediation service activities for rental and leasing of cars, motorhomes and trailers</v>
      </c>
    </row>
    <row r="857" spans="1:4">
      <c r="A857" s="380" t="s">
        <v>2278</v>
      </c>
      <c r="B857" t="s">
        <v>2279</v>
      </c>
      <c r="C857" s="380"/>
      <c r="D857" s="380" t="str">
        <f t="shared" si="17"/>
        <v>NACE O - 77.52 Intermediation service activities for rental and leasing of other tangible goods and non-financial intangible assets</v>
      </c>
    </row>
    <row r="858" spans="1:4">
      <c r="A858" s="376" t="s">
        <v>2280</v>
      </c>
      <c r="B858" t="s">
        <v>2281</v>
      </c>
      <c r="C858" s="380"/>
      <c r="D858" s="376" t="str">
        <f t="shared" si="17"/>
        <v>NACE O - 78 Employment activities</v>
      </c>
    </row>
    <row r="859" spans="1:4">
      <c r="A859" s="379" t="s">
        <v>2282</v>
      </c>
      <c r="B859" t="s">
        <v>2283</v>
      </c>
      <c r="C859" s="380"/>
      <c r="D859" s="379" t="str">
        <f t="shared" si="17"/>
        <v>NACE O - 78.1 Activities of employment placement agencies</v>
      </c>
    </row>
    <row r="860" spans="1:4">
      <c r="A860" s="380" t="s">
        <v>2284</v>
      </c>
      <c r="B860" t="s">
        <v>2285</v>
      </c>
      <c r="C860" s="380"/>
      <c r="D860" s="380" t="str">
        <f t="shared" si="17"/>
        <v>NACE O - 78.10 Activities of employment placement agencies</v>
      </c>
    </row>
    <row r="861" spans="1:4">
      <c r="A861" s="379" t="s">
        <v>2286</v>
      </c>
      <c r="B861" t="s">
        <v>2287</v>
      </c>
      <c r="C861" s="380"/>
      <c r="D861" s="379" t="str">
        <f t="shared" si="17"/>
        <v>NACE O - 78.2 Temporary employment agency activities and other human resource provisions</v>
      </c>
    </row>
    <row r="862" spans="1:4">
      <c r="A862" s="380" t="s">
        <v>2288</v>
      </c>
      <c r="B862" t="s">
        <v>2289</v>
      </c>
      <c r="C862" s="380"/>
      <c r="D862" s="380" t="str">
        <f t="shared" si="17"/>
        <v>NACE O - 78.20 Temporary employment agency activities and other human resource provisions</v>
      </c>
    </row>
    <row r="863" spans="1:4">
      <c r="A863" s="376" t="s">
        <v>2290</v>
      </c>
      <c r="B863" t="s">
        <v>2291</v>
      </c>
      <c r="C863" s="380"/>
      <c r="D863" s="376" t="str">
        <f t="shared" si="17"/>
        <v>NACE O - 79 Travel agency, tour operator and other reservation service and related activities</v>
      </c>
    </row>
    <row r="864" spans="1:4">
      <c r="A864" s="379" t="s">
        <v>2292</v>
      </c>
      <c r="B864" t="s">
        <v>2293</v>
      </c>
      <c r="C864" s="380"/>
      <c r="D864" s="379" t="str">
        <f t="shared" si="17"/>
        <v>NACE O - 79.1 Travel agency and tour operator activities</v>
      </c>
    </row>
    <row r="865" spans="1:4">
      <c r="A865" s="380" t="s">
        <v>2294</v>
      </c>
      <c r="B865" t="s">
        <v>2295</v>
      </c>
      <c r="C865" s="380"/>
      <c r="D865" s="380" t="str">
        <f t="shared" si="17"/>
        <v>NACE O - 79.11 Travel agency activities</v>
      </c>
    </row>
    <row r="866" spans="1:4">
      <c r="A866" s="380" t="s">
        <v>2296</v>
      </c>
      <c r="B866" t="s">
        <v>2297</v>
      </c>
      <c r="C866" s="380"/>
      <c r="D866" s="380" t="str">
        <f t="shared" si="17"/>
        <v>NACE O - 79.12 Tour operator activities</v>
      </c>
    </row>
    <row r="867" spans="1:4">
      <c r="A867" s="379" t="s">
        <v>2298</v>
      </c>
      <c r="B867" t="s">
        <v>2299</v>
      </c>
      <c r="C867" s="380"/>
      <c r="D867" s="379" t="str">
        <f t="shared" si="17"/>
        <v>NACE O - 79.9 Other reservation service and related activities</v>
      </c>
    </row>
    <row r="868" spans="1:4">
      <c r="A868" s="380" t="s">
        <v>2300</v>
      </c>
      <c r="B868" t="s">
        <v>2301</v>
      </c>
      <c r="C868" s="380"/>
      <c r="D868" s="380" t="str">
        <f t="shared" si="17"/>
        <v>NACE O - 79.90 Other reservation service and related activities</v>
      </c>
    </row>
    <row r="869" spans="1:4">
      <c r="A869" s="376" t="s">
        <v>2302</v>
      </c>
      <c r="B869" t="s">
        <v>2303</v>
      </c>
      <c r="C869" s="380"/>
      <c r="D869" s="376" t="str">
        <f t="shared" si="17"/>
        <v>NACE O - 80 Investigation and security activities</v>
      </c>
    </row>
    <row r="870" spans="1:4">
      <c r="A870" s="379" t="s">
        <v>2304</v>
      </c>
      <c r="B870" t="s">
        <v>2305</v>
      </c>
      <c r="C870" s="380"/>
      <c r="D870" s="379" t="str">
        <f t="shared" si="17"/>
        <v>NACE O - 80.0 Investigation and security activities</v>
      </c>
    </row>
    <row r="871" spans="1:4">
      <c r="A871" s="380" t="s">
        <v>2306</v>
      </c>
      <c r="B871" t="s">
        <v>2307</v>
      </c>
      <c r="C871" s="380"/>
      <c r="D871" s="380" t="str">
        <f t="shared" si="17"/>
        <v>NACE O - 80.01 Investigation and private security activities</v>
      </c>
    </row>
    <row r="872" spans="1:4">
      <c r="A872" s="380" t="s">
        <v>2308</v>
      </c>
      <c r="B872" t="s">
        <v>2309</v>
      </c>
      <c r="C872" s="380"/>
      <c r="D872" s="380" t="str">
        <f t="shared" si="17"/>
        <v>NACE O - 80.09 Security activities n.e.c.</v>
      </c>
    </row>
    <row r="873" spans="1:4">
      <c r="A873" s="376" t="s">
        <v>2310</v>
      </c>
      <c r="B873" t="s">
        <v>2311</v>
      </c>
      <c r="C873" s="380"/>
      <c r="D873" s="376" t="str">
        <f t="shared" si="17"/>
        <v>NACE O - 81 Services to buildings and landscape activities</v>
      </c>
    </row>
    <row r="874" spans="1:4">
      <c r="A874" s="379" t="s">
        <v>2312</v>
      </c>
      <c r="B874" t="s">
        <v>2313</v>
      </c>
      <c r="C874" s="380"/>
      <c r="D874" s="379" t="str">
        <f t="shared" si="17"/>
        <v>NACE O - 81.1 Combined facilities support activities</v>
      </c>
    </row>
    <row r="875" spans="1:4">
      <c r="A875" s="380" t="s">
        <v>2314</v>
      </c>
      <c r="B875" t="s">
        <v>2315</v>
      </c>
      <c r="C875" s="380"/>
      <c r="D875" s="380" t="str">
        <f t="shared" si="17"/>
        <v>NACE O - 81.10 Combined facilities support activities</v>
      </c>
    </row>
    <row r="876" spans="1:4">
      <c r="A876" s="379" t="s">
        <v>2316</v>
      </c>
      <c r="B876" t="s">
        <v>2317</v>
      </c>
      <c r="C876" s="380"/>
      <c r="D876" s="379" t="str">
        <f t="shared" si="17"/>
        <v>NACE O - 81.2 Cleaning activities</v>
      </c>
    </row>
    <row r="877" spans="1:4">
      <c r="A877" s="380" t="s">
        <v>2318</v>
      </c>
      <c r="B877" t="s">
        <v>2319</v>
      </c>
      <c r="C877" s="380"/>
      <c r="D877" s="380" t="str">
        <f t="shared" si="17"/>
        <v>NACE O - 81.21 General cleaning of buildings</v>
      </c>
    </row>
    <row r="878" spans="1:4">
      <c r="A878" s="380" t="s">
        <v>2320</v>
      </c>
      <c r="B878" t="s">
        <v>2321</v>
      </c>
      <c r="C878" s="380"/>
      <c r="D878" s="380" t="str">
        <f t="shared" si="17"/>
        <v>NACE O - 81.22 Other building and industrial cleaning activities</v>
      </c>
    </row>
    <row r="879" spans="1:4">
      <c r="A879" s="380" t="s">
        <v>2322</v>
      </c>
      <c r="B879" t="s">
        <v>2323</v>
      </c>
      <c r="C879" s="380"/>
      <c r="D879" s="380" t="str">
        <f t="shared" si="17"/>
        <v>NACE O - 81.23 Other cleaning activities</v>
      </c>
    </row>
    <row r="880" spans="1:4">
      <c r="A880" s="379" t="s">
        <v>2324</v>
      </c>
      <c r="B880" t="s">
        <v>2325</v>
      </c>
      <c r="C880" s="380"/>
      <c r="D880" s="379" t="str">
        <f t="shared" si="17"/>
        <v>NACE O - 81.3 Landscape service activities</v>
      </c>
    </row>
    <row r="881" spans="1:4">
      <c r="A881" s="380" t="s">
        <v>2326</v>
      </c>
      <c r="B881" t="s">
        <v>2327</v>
      </c>
      <c r="C881" s="380"/>
      <c r="D881" s="380" t="str">
        <f t="shared" si="17"/>
        <v>NACE O - 81.30 Landscape service activities</v>
      </c>
    </row>
    <row r="882" spans="1:4">
      <c r="A882" s="376" t="s">
        <v>2328</v>
      </c>
      <c r="B882" t="s">
        <v>2329</v>
      </c>
      <c r="C882" s="380"/>
      <c r="D882" s="376" t="str">
        <f t="shared" si="17"/>
        <v>NACE O - 82 Office administrative, office support and other business support activities</v>
      </c>
    </row>
    <row r="883" spans="1:4">
      <c r="A883" s="379" t="s">
        <v>2330</v>
      </c>
      <c r="B883" t="s">
        <v>2331</v>
      </c>
      <c r="C883" s="380"/>
      <c r="D883" s="379" t="str">
        <f t="shared" si="17"/>
        <v>NACE O - 82.1 Office administrative and support activities</v>
      </c>
    </row>
    <row r="884" spans="1:4">
      <c r="A884" s="380" t="s">
        <v>2332</v>
      </c>
      <c r="B884" t="s">
        <v>2333</v>
      </c>
      <c r="C884" s="380"/>
      <c r="D884" s="380" t="str">
        <f t="shared" si="17"/>
        <v>NACE O - 82.10 Office administrative and support activities</v>
      </c>
    </row>
    <row r="885" spans="1:4">
      <c r="A885" s="379" t="s">
        <v>2334</v>
      </c>
      <c r="B885" t="s">
        <v>2335</v>
      </c>
      <c r="C885" s="380"/>
      <c r="D885" s="379" t="str">
        <f t="shared" si="17"/>
        <v>NACE O - 82.2 Activities of call centres</v>
      </c>
    </row>
    <row r="886" spans="1:4">
      <c r="A886" s="380" t="s">
        <v>2336</v>
      </c>
      <c r="B886" t="s">
        <v>2337</v>
      </c>
      <c r="C886" s="380"/>
      <c r="D886" s="380" t="str">
        <f t="shared" si="17"/>
        <v>NACE O - 82.20 Activities of call centres</v>
      </c>
    </row>
    <row r="887" spans="1:4">
      <c r="A887" s="379" t="s">
        <v>2338</v>
      </c>
      <c r="B887" t="s">
        <v>2339</v>
      </c>
      <c r="C887" s="380"/>
      <c r="D887" s="379" t="str">
        <f t="shared" si="17"/>
        <v>NACE O - 82.3 Organisation of conventions and trade shows</v>
      </c>
    </row>
    <row r="888" spans="1:4">
      <c r="A888" s="380" t="s">
        <v>2340</v>
      </c>
      <c r="B888" t="s">
        <v>2341</v>
      </c>
      <c r="C888" s="380"/>
      <c r="D888" s="380" t="str">
        <f t="shared" si="17"/>
        <v>NACE O - 82.30 Organisation of conventions and trade shows</v>
      </c>
    </row>
    <row r="889" spans="1:4">
      <c r="A889" s="379" t="s">
        <v>2342</v>
      </c>
      <c r="B889" t="s">
        <v>2343</v>
      </c>
      <c r="C889" s="380"/>
      <c r="D889" s="379" t="str">
        <f t="shared" si="17"/>
        <v>NACE O - 82.4 Intermediation service activities for business support service activities n.e.c.</v>
      </c>
    </row>
    <row r="890" spans="1:4">
      <c r="A890" s="380" t="s">
        <v>2344</v>
      </c>
      <c r="B890" t="s">
        <v>2345</v>
      </c>
      <c r="C890" s="380"/>
      <c r="D890" s="380" t="str">
        <f t="shared" si="17"/>
        <v>NACE O - 82.40 Intermediation service activities for business support service activities n.e.c.</v>
      </c>
    </row>
    <row r="891" spans="1:4">
      <c r="A891" s="379" t="s">
        <v>2346</v>
      </c>
      <c r="B891" t="s">
        <v>2347</v>
      </c>
      <c r="C891" s="380"/>
      <c r="D891" s="379" t="str">
        <f t="shared" si="17"/>
        <v>NACE O - 82.9 Business support service activities n.e.c.</v>
      </c>
    </row>
    <row r="892" spans="1:4">
      <c r="A892" s="380" t="s">
        <v>2348</v>
      </c>
      <c r="B892" t="s">
        <v>2349</v>
      </c>
      <c r="C892" s="380"/>
      <c r="D892" s="380" t="str">
        <f t="shared" si="17"/>
        <v>NACE O - 82.91 Activities of collection agencies and credit bureaus</v>
      </c>
    </row>
    <row r="893" spans="1:4">
      <c r="A893" s="380" t="s">
        <v>2350</v>
      </c>
      <c r="B893" t="s">
        <v>2351</v>
      </c>
      <c r="C893" s="380"/>
      <c r="D893" s="380" t="str">
        <f t="shared" si="17"/>
        <v>NACE O - 82.92 Packaging activities</v>
      </c>
    </row>
    <row r="894" spans="1:4">
      <c r="A894" s="380" t="s">
        <v>2352</v>
      </c>
      <c r="B894" t="s">
        <v>2353</v>
      </c>
      <c r="C894" s="380"/>
      <c r="D894" s="380" t="str">
        <f t="shared" si="17"/>
        <v>NACE O - 82.99 Other business support service activities n.e.c.</v>
      </c>
    </row>
    <row r="895" spans="1:4">
      <c r="A895" s="377" t="s">
        <v>2354</v>
      </c>
      <c r="B895" t="s">
        <v>2355</v>
      </c>
      <c r="C895" s="380"/>
      <c r="D895" s="377" t="str">
        <f t="shared" si="17"/>
        <v>NACE P - PUBLIC ADMINISTRATION AND DEFENCE; COMPULSORY SOCIAL SECURITY</v>
      </c>
    </row>
    <row r="896" spans="1:4">
      <c r="A896" s="376" t="s">
        <v>2356</v>
      </c>
      <c r="B896" t="s">
        <v>2357</v>
      </c>
      <c r="C896" s="380"/>
      <c r="D896" s="376" t="str">
        <f t="shared" si="17"/>
        <v>NACE P - 84 Public administration and defence; compulsory social security</v>
      </c>
    </row>
    <row r="897" spans="1:4">
      <c r="A897" s="379" t="s">
        <v>2358</v>
      </c>
      <c r="B897" t="s">
        <v>2359</v>
      </c>
      <c r="C897" s="380"/>
      <c r="D897" s="379" t="str">
        <f t="shared" si="17"/>
        <v>NACE P - 84.1 Administration of the State and the economic, social and environmental policies of the community</v>
      </c>
    </row>
    <row r="898" spans="1:4">
      <c r="A898" s="380" t="s">
        <v>2360</v>
      </c>
      <c r="B898" t="s">
        <v>2361</v>
      </c>
      <c r="C898" s="380"/>
      <c r="D898" s="380" t="str">
        <f t="shared" ref="D898:D961" si="18">_xlfn.CONCAT("NACE ", A898)</f>
        <v>NACE P - 84.11 General public administration activities</v>
      </c>
    </row>
    <row r="899" spans="1:4">
      <c r="A899" s="380" t="s">
        <v>2362</v>
      </c>
      <c r="B899" t="s">
        <v>2363</v>
      </c>
      <c r="C899" s="380"/>
      <c r="D899" s="380" t="str">
        <f t="shared" si="18"/>
        <v>NACE P - 84.12 Regulation of health care, education, cultural services and other social services</v>
      </c>
    </row>
    <row r="900" spans="1:4">
      <c r="A900" s="380" t="s">
        <v>2364</v>
      </c>
      <c r="B900" t="s">
        <v>2365</v>
      </c>
      <c r="C900" s="380"/>
      <c r="D900" s="380" t="str">
        <f t="shared" si="18"/>
        <v>NACE P - 84.13 Regulation of and contribution to more efficient operation of businesses</v>
      </c>
    </row>
    <row r="901" spans="1:4">
      <c r="A901" s="379" t="s">
        <v>2366</v>
      </c>
      <c r="B901" t="s">
        <v>2367</v>
      </c>
      <c r="C901" s="380"/>
      <c r="D901" s="379" t="str">
        <f t="shared" si="18"/>
        <v>NACE P - 84.2 Provision of services to the community as a whole</v>
      </c>
    </row>
    <row r="902" spans="1:4">
      <c r="A902" s="380" t="s">
        <v>2368</v>
      </c>
      <c r="B902" t="s">
        <v>2369</v>
      </c>
      <c r="C902" s="380"/>
      <c r="D902" s="380" t="str">
        <f t="shared" si="18"/>
        <v>NACE P - 84.21 Foreign affairs</v>
      </c>
    </row>
    <row r="903" spans="1:4">
      <c r="A903" s="380" t="s">
        <v>2370</v>
      </c>
      <c r="B903" t="s">
        <v>2371</v>
      </c>
      <c r="C903" s="380"/>
      <c r="D903" s="380" t="str">
        <f t="shared" si="18"/>
        <v>NACE P - 84.22 Defence activities</v>
      </c>
    </row>
    <row r="904" spans="1:4">
      <c r="A904" s="380" t="s">
        <v>2372</v>
      </c>
      <c r="B904" t="s">
        <v>2373</v>
      </c>
      <c r="C904" s="380"/>
      <c r="D904" s="380" t="str">
        <f t="shared" si="18"/>
        <v>NACE P - 84.23 Justice and judicial activities</v>
      </c>
    </row>
    <row r="905" spans="1:4">
      <c r="A905" s="380" t="s">
        <v>2374</v>
      </c>
      <c r="B905" t="s">
        <v>2375</v>
      </c>
      <c r="C905" s="380"/>
      <c r="D905" s="380" t="str">
        <f t="shared" si="18"/>
        <v>NACE P - 84.24 Public order and safety activities</v>
      </c>
    </row>
    <row r="906" spans="1:4">
      <c r="A906" s="380" t="s">
        <v>2376</v>
      </c>
      <c r="B906" t="s">
        <v>2377</v>
      </c>
      <c r="C906" s="380"/>
      <c r="D906" s="380" t="str">
        <f t="shared" si="18"/>
        <v>NACE P - 84.25 Fire service activities</v>
      </c>
    </row>
    <row r="907" spans="1:4">
      <c r="A907" s="379" t="s">
        <v>2378</v>
      </c>
      <c r="B907" t="s">
        <v>2379</v>
      </c>
      <c r="C907" s="380"/>
      <c r="D907" s="379" t="str">
        <f t="shared" si="18"/>
        <v>NACE P - 84.3 Compulsory social security activities</v>
      </c>
    </row>
    <row r="908" spans="1:4">
      <c r="A908" s="380" t="s">
        <v>2380</v>
      </c>
      <c r="B908" t="s">
        <v>2381</v>
      </c>
      <c r="C908" s="380"/>
      <c r="D908" s="380" t="str">
        <f t="shared" si="18"/>
        <v>NACE P - 84.30 Compulsory social security activities</v>
      </c>
    </row>
    <row r="909" spans="1:4">
      <c r="A909" s="377" t="s">
        <v>2382</v>
      </c>
      <c r="B909" t="s">
        <v>2383</v>
      </c>
      <c r="C909" s="380"/>
      <c r="D909" s="377" t="str">
        <f t="shared" si="18"/>
        <v>NACE Q - EDUCATION</v>
      </c>
    </row>
    <row r="910" spans="1:4">
      <c r="A910" s="376" t="s">
        <v>2384</v>
      </c>
      <c r="B910" t="s">
        <v>2385</v>
      </c>
      <c r="C910" s="380"/>
      <c r="D910" s="376" t="str">
        <f t="shared" si="18"/>
        <v>NACE Q - 85 Education</v>
      </c>
    </row>
    <row r="911" spans="1:4">
      <c r="A911" s="379" t="s">
        <v>2386</v>
      </c>
      <c r="B911" t="s">
        <v>2387</v>
      </c>
      <c r="C911" s="380"/>
      <c r="D911" s="379" t="str">
        <f t="shared" si="18"/>
        <v>NACE Q - 85.1 Pre-primary education</v>
      </c>
    </row>
    <row r="912" spans="1:4">
      <c r="A912" s="380" t="s">
        <v>2388</v>
      </c>
      <c r="B912" t="s">
        <v>2389</v>
      </c>
      <c r="C912" s="380"/>
      <c r="D912" s="380" t="str">
        <f t="shared" si="18"/>
        <v>NACE Q - 85.10 Pre-primary education</v>
      </c>
    </row>
    <row r="913" spans="1:4">
      <c r="A913" s="379" t="s">
        <v>2390</v>
      </c>
      <c r="B913" t="s">
        <v>2391</v>
      </c>
      <c r="C913" s="380"/>
      <c r="D913" s="379" t="str">
        <f t="shared" si="18"/>
        <v>NACE Q - 85.2 Primary education</v>
      </c>
    </row>
    <row r="914" spans="1:4">
      <c r="A914" s="380" t="s">
        <v>2392</v>
      </c>
      <c r="B914" t="s">
        <v>2393</v>
      </c>
      <c r="C914" s="380"/>
      <c r="D914" s="380" t="str">
        <f t="shared" si="18"/>
        <v>NACE Q - 85.20 Primary education</v>
      </c>
    </row>
    <row r="915" spans="1:4">
      <c r="A915" s="379" t="s">
        <v>2394</v>
      </c>
      <c r="B915" t="s">
        <v>2395</v>
      </c>
      <c r="C915" s="380"/>
      <c r="D915" s="379" t="str">
        <f t="shared" si="18"/>
        <v>NACE Q - 85.3 Secondary and post-secondary non-tertiary education</v>
      </c>
    </row>
    <row r="916" spans="1:4">
      <c r="A916" s="380" t="s">
        <v>2396</v>
      </c>
      <c r="B916" t="s">
        <v>2397</v>
      </c>
      <c r="C916" s="380"/>
      <c r="D916" s="380" t="str">
        <f t="shared" si="18"/>
        <v>NACE Q - 85.31 General secondary education</v>
      </c>
    </row>
    <row r="917" spans="1:4">
      <c r="A917" s="380" t="s">
        <v>2398</v>
      </c>
      <c r="B917" t="s">
        <v>2399</v>
      </c>
      <c r="C917" s="380"/>
      <c r="D917" s="380" t="str">
        <f t="shared" si="18"/>
        <v>NACE Q - 85.32 Vocational secondary education</v>
      </c>
    </row>
    <row r="918" spans="1:4">
      <c r="A918" s="380" t="s">
        <v>2400</v>
      </c>
      <c r="B918" t="s">
        <v>2401</v>
      </c>
      <c r="C918" s="380"/>
      <c r="D918" s="380" t="str">
        <f t="shared" si="18"/>
        <v>NACE Q - 85.33 Post-secondary non-tertiary education</v>
      </c>
    </row>
    <row r="919" spans="1:4">
      <c r="A919" s="379" t="s">
        <v>2402</v>
      </c>
      <c r="B919" t="s">
        <v>2403</v>
      </c>
      <c r="C919" s="380"/>
      <c r="D919" s="379" t="str">
        <f t="shared" si="18"/>
        <v>NACE Q - 85.4 Tertiary education</v>
      </c>
    </row>
    <row r="920" spans="1:4">
      <c r="A920" s="380" t="s">
        <v>2404</v>
      </c>
      <c r="B920" t="s">
        <v>2405</v>
      </c>
      <c r="C920" s="380"/>
      <c r="D920" s="380" t="str">
        <f t="shared" si="18"/>
        <v>NACE Q - 85.40 Tertiary education</v>
      </c>
    </row>
    <row r="921" spans="1:4">
      <c r="A921" s="379" t="s">
        <v>2406</v>
      </c>
      <c r="B921" t="s">
        <v>2407</v>
      </c>
      <c r="C921" s="380"/>
      <c r="D921" s="379" t="str">
        <f t="shared" si="18"/>
        <v>NACE Q - 85.5 Other education</v>
      </c>
    </row>
    <row r="922" spans="1:4">
      <c r="A922" s="380" t="s">
        <v>2408</v>
      </c>
      <c r="B922" t="s">
        <v>2409</v>
      </c>
      <c r="C922" s="380"/>
      <c r="D922" s="380" t="str">
        <f t="shared" si="18"/>
        <v>NACE Q - 85.51 Sports and recreation education</v>
      </c>
    </row>
    <row r="923" spans="1:4">
      <c r="A923" s="380" t="s">
        <v>2410</v>
      </c>
      <c r="B923" t="s">
        <v>2411</v>
      </c>
      <c r="C923" s="380"/>
      <c r="D923" s="380" t="str">
        <f t="shared" si="18"/>
        <v>NACE Q - 85.52 Cultural education</v>
      </c>
    </row>
    <row r="924" spans="1:4">
      <c r="A924" s="380" t="s">
        <v>2412</v>
      </c>
      <c r="B924" t="s">
        <v>2413</v>
      </c>
      <c r="C924" s="380"/>
      <c r="D924" s="380" t="str">
        <f t="shared" si="18"/>
        <v>NACE Q - 85.53 Driving school activities</v>
      </c>
    </row>
    <row r="925" spans="1:4">
      <c r="A925" s="380" t="s">
        <v>2414</v>
      </c>
      <c r="B925" t="s">
        <v>2415</v>
      </c>
      <c r="C925" s="380"/>
      <c r="D925" s="380" t="str">
        <f t="shared" si="18"/>
        <v>NACE Q - 85.59 Other education n.e.c.</v>
      </c>
    </row>
    <row r="926" spans="1:4">
      <c r="A926" s="379" t="s">
        <v>2416</v>
      </c>
      <c r="B926" t="s">
        <v>2417</v>
      </c>
      <c r="C926" s="380"/>
      <c r="D926" s="379" t="str">
        <f t="shared" si="18"/>
        <v>NACE Q - 85.6 Educational support activities</v>
      </c>
    </row>
    <row r="927" spans="1:4">
      <c r="A927" s="380" t="s">
        <v>2418</v>
      </c>
      <c r="B927" t="s">
        <v>2419</v>
      </c>
      <c r="C927" s="380"/>
      <c r="D927" s="380" t="str">
        <f t="shared" si="18"/>
        <v>NACE Q - 85.61 Intermediation service activities for courses and tutors</v>
      </c>
    </row>
    <row r="928" spans="1:4">
      <c r="A928" s="380" t="s">
        <v>2420</v>
      </c>
      <c r="B928" t="s">
        <v>2421</v>
      </c>
      <c r="C928" s="380"/>
      <c r="D928" s="380" t="str">
        <f t="shared" si="18"/>
        <v>NACE Q - 85.69 Educational support activities n.e.c.</v>
      </c>
    </row>
    <row r="929" spans="1:4">
      <c r="A929" s="377" t="s">
        <v>2422</v>
      </c>
      <c r="B929" t="s">
        <v>2423</v>
      </c>
      <c r="C929" s="380"/>
      <c r="D929" s="377" t="str">
        <f t="shared" si="18"/>
        <v>NACE R - HUMAN HEALTH AND SOCIAL WORK ACTIVITIES</v>
      </c>
    </row>
    <row r="930" spans="1:4">
      <c r="A930" s="376" t="s">
        <v>2424</v>
      </c>
      <c r="B930" t="s">
        <v>2425</v>
      </c>
      <c r="C930" s="380"/>
      <c r="D930" s="376" t="str">
        <f t="shared" si="18"/>
        <v>NACE R - 86 Human health activities</v>
      </c>
    </row>
    <row r="931" spans="1:4">
      <c r="A931" s="379" t="s">
        <v>2426</v>
      </c>
      <c r="B931" t="s">
        <v>2427</v>
      </c>
      <c r="C931" s="380"/>
      <c r="D931" s="379" t="str">
        <f t="shared" si="18"/>
        <v>NACE R - 86.1 Hospital activities</v>
      </c>
    </row>
    <row r="932" spans="1:4">
      <c r="A932" s="380" t="s">
        <v>2428</v>
      </c>
      <c r="B932" t="s">
        <v>2429</v>
      </c>
      <c r="C932" s="380"/>
      <c r="D932" s="380" t="str">
        <f t="shared" si="18"/>
        <v>NACE R - 86.10 Hospital activities</v>
      </c>
    </row>
    <row r="933" spans="1:4">
      <c r="A933" s="379" t="s">
        <v>2430</v>
      </c>
      <c r="B933" t="s">
        <v>2431</v>
      </c>
      <c r="C933" s="380"/>
      <c r="D933" s="379" t="str">
        <f t="shared" si="18"/>
        <v>NACE R - 86.2 Medical and dental practice activities</v>
      </c>
    </row>
    <row r="934" spans="1:4">
      <c r="A934" s="380" t="s">
        <v>2432</v>
      </c>
      <c r="B934" t="s">
        <v>2433</v>
      </c>
      <c r="C934" s="380"/>
      <c r="D934" s="380" t="str">
        <f t="shared" si="18"/>
        <v>NACE R - 86.21 General medical practice activities</v>
      </c>
    </row>
    <row r="935" spans="1:4">
      <c r="A935" s="380" t="s">
        <v>2434</v>
      </c>
      <c r="B935" t="s">
        <v>2435</v>
      </c>
      <c r="C935" s="380"/>
      <c r="D935" s="380" t="str">
        <f t="shared" si="18"/>
        <v>NACE R - 86.22 Medical specialists activities</v>
      </c>
    </row>
    <row r="936" spans="1:4">
      <c r="A936" s="380" t="s">
        <v>2436</v>
      </c>
      <c r="B936" t="s">
        <v>2437</v>
      </c>
      <c r="C936" s="380"/>
      <c r="D936" s="380" t="str">
        <f t="shared" si="18"/>
        <v>NACE R - 86.23 Dental practice care activities</v>
      </c>
    </row>
    <row r="937" spans="1:4">
      <c r="A937" s="379" t="s">
        <v>2438</v>
      </c>
      <c r="B937" t="s">
        <v>2439</v>
      </c>
      <c r="C937" s="380"/>
      <c r="D937" s="379" t="str">
        <f t="shared" si="18"/>
        <v>NACE R - 86.9 Other human health activities</v>
      </c>
    </row>
    <row r="938" spans="1:4">
      <c r="A938" s="380" t="s">
        <v>2440</v>
      </c>
      <c r="B938" t="s">
        <v>2441</v>
      </c>
      <c r="C938" s="380"/>
      <c r="D938" s="380" t="str">
        <f t="shared" si="18"/>
        <v>NACE R - 86.91 Diagnostic imaging services and medical laboratory activities</v>
      </c>
    </row>
    <row r="939" spans="1:4">
      <c r="A939" s="380" t="s">
        <v>2442</v>
      </c>
      <c r="B939" t="s">
        <v>2443</v>
      </c>
      <c r="C939" s="380"/>
      <c r="D939" s="380" t="str">
        <f t="shared" si="18"/>
        <v>NACE R - 86.92 Patient transportation by ambulance</v>
      </c>
    </row>
    <row r="940" spans="1:4">
      <c r="A940" s="380" t="s">
        <v>2444</v>
      </c>
      <c r="B940" t="s">
        <v>2445</v>
      </c>
      <c r="C940" s="380"/>
      <c r="D940" s="380" t="str">
        <f t="shared" si="18"/>
        <v>NACE R - 86.93 Activities of psychologists and psychotherapists, except medical doctors</v>
      </c>
    </row>
    <row r="941" spans="1:4">
      <c r="A941" s="380" t="s">
        <v>2446</v>
      </c>
      <c r="B941" t="s">
        <v>2447</v>
      </c>
      <c r="C941" s="380"/>
      <c r="D941" s="380" t="str">
        <f t="shared" si="18"/>
        <v>NACE R - 86.94 Nursing and midwifery activities</v>
      </c>
    </row>
    <row r="942" spans="1:4">
      <c r="A942" s="380" t="s">
        <v>2448</v>
      </c>
      <c r="B942" t="s">
        <v>2449</v>
      </c>
      <c r="C942" s="380"/>
      <c r="D942" s="380" t="str">
        <f t="shared" si="18"/>
        <v>NACE R - 86.95 Physiotherapy activities</v>
      </c>
    </row>
    <row r="943" spans="1:4">
      <c r="A943" s="380" t="s">
        <v>2450</v>
      </c>
      <c r="B943" t="s">
        <v>2451</v>
      </c>
      <c r="C943" s="380"/>
      <c r="D943" s="380" t="str">
        <f t="shared" si="18"/>
        <v>NACE R - 86.96 Traditional, complementary and alternative medicine activities</v>
      </c>
    </row>
    <row r="944" spans="1:4">
      <c r="A944" s="380" t="s">
        <v>2452</v>
      </c>
      <c r="B944" t="s">
        <v>2453</v>
      </c>
      <c r="C944" s="380"/>
      <c r="D944" s="380" t="str">
        <f t="shared" si="18"/>
        <v>NACE R - 86.97 Intermediation service activities for medical, dental and other human health services</v>
      </c>
    </row>
    <row r="945" spans="1:4">
      <c r="A945" s="380" t="s">
        <v>2454</v>
      </c>
      <c r="B945" t="s">
        <v>2455</v>
      </c>
      <c r="C945" s="380"/>
      <c r="D945" s="380" t="str">
        <f t="shared" si="18"/>
        <v>NACE R - 86.99 Other human health activities n.e.c.</v>
      </c>
    </row>
    <row r="946" spans="1:4">
      <c r="A946" s="376" t="s">
        <v>2456</v>
      </c>
      <c r="B946" t="s">
        <v>2457</v>
      </c>
      <c r="C946" s="380"/>
      <c r="D946" s="376" t="str">
        <f t="shared" si="18"/>
        <v>NACE R - 87 Residential care activities</v>
      </c>
    </row>
    <row r="947" spans="1:4">
      <c r="A947" s="379" t="s">
        <v>2458</v>
      </c>
      <c r="B947" t="s">
        <v>2459</v>
      </c>
      <c r="C947" s="380"/>
      <c r="D947" s="379" t="str">
        <f t="shared" si="18"/>
        <v>NACE R - 87.1 Residential nursing care activities</v>
      </c>
    </row>
    <row r="948" spans="1:4">
      <c r="A948" s="380" t="s">
        <v>2460</v>
      </c>
      <c r="B948" t="s">
        <v>2461</v>
      </c>
      <c r="C948" s="380"/>
      <c r="D948" s="380" t="str">
        <f t="shared" si="18"/>
        <v>NACE R - 87.10 Residential nursing care activities</v>
      </c>
    </row>
    <row r="949" spans="1:4">
      <c r="A949" s="379" t="s">
        <v>2462</v>
      </c>
      <c r="B949" t="s">
        <v>2463</v>
      </c>
      <c r="C949" s="380"/>
      <c r="D949" s="379" t="str">
        <f t="shared" si="18"/>
        <v>NACE R - 87.2 Residential care activities for persons living with or having a diagnosis of a mental illness or substance abuse</v>
      </c>
    </row>
    <row r="950" spans="1:4">
      <c r="A950" s="380" t="s">
        <v>2464</v>
      </c>
      <c r="B950" t="s">
        <v>2465</v>
      </c>
      <c r="C950" s="380"/>
      <c r="D950" s="380" t="str">
        <f t="shared" si="18"/>
        <v>NACE R - 87.20 Residential care activities for persons living with or having a diagnosis of a mental illness or substance abuse</v>
      </c>
    </row>
    <row r="951" spans="1:4">
      <c r="A951" s="379" t="s">
        <v>2466</v>
      </c>
      <c r="B951" t="s">
        <v>2467</v>
      </c>
      <c r="C951" s="380"/>
      <c r="D951" s="379" t="str">
        <f t="shared" si="18"/>
        <v>NACE R - 87.3 Residential care activities for older persons or persons with physical disabilities</v>
      </c>
    </row>
    <row r="952" spans="1:4">
      <c r="A952" s="380" t="s">
        <v>2468</v>
      </c>
      <c r="B952" t="s">
        <v>2469</v>
      </c>
      <c r="C952" s="380"/>
      <c r="D952" s="380" t="str">
        <f t="shared" si="18"/>
        <v>NACE R - 87.30 Residential care activities for older persons or persons with physical disabilities</v>
      </c>
    </row>
    <row r="953" spans="1:4">
      <c r="A953" s="379" t="s">
        <v>2470</v>
      </c>
      <c r="B953" t="s">
        <v>2471</v>
      </c>
      <c r="C953" s="380"/>
      <c r="D953" s="379" t="str">
        <f t="shared" si="18"/>
        <v>NACE R - 87.9 Other residential care activities</v>
      </c>
    </row>
    <row r="954" spans="1:4">
      <c r="A954" s="380" t="s">
        <v>2472</v>
      </c>
      <c r="B954" t="s">
        <v>2473</v>
      </c>
      <c r="C954" s="380"/>
      <c r="D954" s="380" t="str">
        <f t="shared" si="18"/>
        <v>NACE R - 87.91 Intermediation service activities for residential care activities</v>
      </c>
    </row>
    <row r="955" spans="1:4">
      <c r="A955" s="380" t="s">
        <v>2474</v>
      </c>
      <c r="B955" t="s">
        <v>2475</v>
      </c>
      <c r="C955" s="380"/>
      <c r="D955" s="380" t="str">
        <f t="shared" si="18"/>
        <v>NACE R - 87.99 Other residential care activities n.e.c.</v>
      </c>
    </row>
    <row r="956" spans="1:4">
      <c r="A956" s="376" t="s">
        <v>2476</v>
      </c>
      <c r="B956" t="s">
        <v>2477</v>
      </c>
      <c r="C956" s="380"/>
      <c r="D956" s="376" t="str">
        <f t="shared" si="18"/>
        <v>NACE R - 88 Social work activities without accommodation</v>
      </c>
    </row>
    <row r="957" spans="1:4">
      <c r="A957" s="379" t="s">
        <v>2478</v>
      </c>
      <c r="B957" t="s">
        <v>2479</v>
      </c>
      <c r="C957" s="380"/>
      <c r="D957" s="379" t="str">
        <f t="shared" si="18"/>
        <v>NACE R - 88.1 Social work activities without accommodation for older persons or persons with disabilities</v>
      </c>
    </row>
    <row r="958" spans="1:4">
      <c r="A958" s="380" t="s">
        <v>2480</v>
      </c>
      <c r="B958" t="s">
        <v>2481</v>
      </c>
      <c r="C958" s="380"/>
      <c r="D958" s="380" t="str">
        <f t="shared" si="18"/>
        <v>NACE R - 88.10 Social work activities without accommodation for older persons or persons with disabilities</v>
      </c>
    </row>
    <row r="959" spans="1:4">
      <c r="A959" s="379" t="s">
        <v>2482</v>
      </c>
      <c r="B959" t="s">
        <v>2483</v>
      </c>
      <c r="C959" s="380"/>
      <c r="D959" s="379" t="str">
        <f t="shared" si="18"/>
        <v>NACE R - 88.9 Other social work activities without accommodation</v>
      </c>
    </row>
    <row r="960" spans="1:4">
      <c r="A960" s="380" t="s">
        <v>2484</v>
      </c>
      <c r="B960" t="s">
        <v>2485</v>
      </c>
      <c r="C960" s="380"/>
      <c r="D960" s="380" t="str">
        <f t="shared" si="18"/>
        <v>NACE R - 88.91 Child day-care activities</v>
      </c>
    </row>
    <row r="961" spans="1:4">
      <c r="A961" s="380" t="s">
        <v>2486</v>
      </c>
      <c r="B961" t="s">
        <v>2487</v>
      </c>
      <c r="C961" s="380"/>
      <c r="D961" s="380" t="str">
        <f t="shared" si="18"/>
        <v>NACE R - 88.99 Other social work activities without accommodation n.e.c.</v>
      </c>
    </row>
    <row r="962" spans="1:4">
      <c r="A962" s="377" t="s">
        <v>2488</v>
      </c>
      <c r="B962" t="s">
        <v>2489</v>
      </c>
      <c r="C962" s="380"/>
      <c r="D962" s="377" t="str">
        <f t="shared" ref="D962:D1025" si="19">_xlfn.CONCAT("NACE ", A962)</f>
        <v>NACE S - ARTS, SPORTS AND RECREATION</v>
      </c>
    </row>
    <row r="963" spans="1:4">
      <c r="A963" s="376" t="s">
        <v>2490</v>
      </c>
      <c r="B963" t="s">
        <v>2491</v>
      </c>
      <c r="C963" s="380"/>
      <c r="D963" s="376" t="str">
        <f t="shared" si="19"/>
        <v>NACE S - 90 Arts creation and performing arts activities</v>
      </c>
    </row>
    <row r="964" spans="1:4">
      <c r="A964" s="379" t="s">
        <v>2492</v>
      </c>
      <c r="B964" t="s">
        <v>2493</v>
      </c>
      <c r="C964" s="380"/>
      <c r="D964" s="379" t="str">
        <f t="shared" si="19"/>
        <v>NACE S - 90.1 Arts creation activities</v>
      </c>
    </row>
    <row r="965" spans="1:4">
      <c r="A965" s="380" t="s">
        <v>2494</v>
      </c>
      <c r="B965" t="s">
        <v>2495</v>
      </c>
      <c r="C965" s="380"/>
      <c r="D965" s="380" t="str">
        <f t="shared" si="19"/>
        <v>NACE S - 90.11 Literary creation and musical composition activities</v>
      </c>
    </row>
    <row r="966" spans="1:4">
      <c r="A966" s="380" t="s">
        <v>2496</v>
      </c>
      <c r="B966" t="s">
        <v>2497</v>
      </c>
      <c r="C966" s="380"/>
      <c r="D966" s="380" t="str">
        <f t="shared" si="19"/>
        <v>NACE S - 90.12 Visual arts creation activities</v>
      </c>
    </row>
    <row r="967" spans="1:4">
      <c r="A967" s="380" t="s">
        <v>2498</v>
      </c>
      <c r="B967" t="s">
        <v>2499</v>
      </c>
      <c r="C967" s="380"/>
      <c r="D967" s="380" t="str">
        <f t="shared" si="19"/>
        <v>NACE S - 90.13 Other arts creation activities</v>
      </c>
    </row>
    <row r="968" spans="1:4">
      <c r="A968" s="379" t="s">
        <v>2500</v>
      </c>
      <c r="B968" t="s">
        <v>2501</v>
      </c>
      <c r="C968" s="380"/>
      <c r="D968" s="379" t="str">
        <f t="shared" si="19"/>
        <v>NACE S - 90.2 Activities of performing arts</v>
      </c>
    </row>
    <row r="969" spans="1:4">
      <c r="A969" s="380" t="s">
        <v>2502</v>
      </c>
      <c r="B969" t="s">
        <v>2503</v>
      </c>
      <c r="C969" s="380"/>
      <c r="D969" s="380" t="str">
        <f t="shared" si="19"/>
        <v>NACE S - 90.20 Activities of performing arts</v>
      </c>
    </row>
    <row r="970" spans="1:4">
      <c r="A970" s="379" t="s">
        <v>2504</v>
      </c>
      <c r="B970" t="s">
        <v>2505</v>
      </c>
      <c r="C970" s="380"/>
      <c r="D970" s="379" t="str">
        <f t="shared" si="19"/>
        <v>NACE S - 90.3 Support activities to arts creation and performing arts</v>
      </c>
    </row>
    <row r="971" spans="1:4">
      <c r="A971" s="380" t="s">
        <v>2506</v>
      </c>
      <c r="B971" t="s">
        <v>2507</v>
      </c>
      <c r="C971" s="380"/>
      <c r="D971" s="380" t="str">
        <f t="shared" si="19"/>
        <v>NACE S - 90.31 Operation of arts facilities and sites</v>
      </c>
    </row>
    <row r="972" spans="1:4">
      <c r="A972" s="380" t="s">
        <v>2508</v>
      </c>
      <c r="B972" t="s">
        <v>2509</v>
      </c>
      <c r="C972" s="380"/>
      <c r="D972" s="380" t="str">
        <f t="shared" si="19"/>
        <v>NACE S - 90.39 Other support activities to arts and performing arts</v>
      </c>
    </row>
    <row r="973" spans="1:4">
      <c r="A973" s="376" t="s">
        <v>2510</v>
      </c>
      <c r="B973" t="s">
        <v>2511</v>
      </c>
      <c r="C973" s="380"/>
      <c r="D973" s="376" t="str">
        <f t="shared" si="19"/>
        <v>NACE S - 91 Libraries, archives, museums and other cultural activities</v>
      </c>
    </row>
    <row r="974" spans="1:4">
      <c r="A974" s="379" t="s">
        <v>2512</v>
      </c>
      <c r="B974" t="s">
        <v>2513</v>
      </c>
      <c r="C974" s="380"/>
      <c r="D974" s="379" t="str">
        <f t="shared" si="19"/>
        <v>NACE S - 91.1 Library and archive activities</v>
      </c>
    </row>
    <row r="975" spans="1:4">
      <c r="A975" s="380" t="s">
        <v>2514</v>
      </c>
      <c r="B975" t="s">
        <v>2515</v>
      </c>
      <c r="C975" s="380"/>
      <c r="D975" s="380" t="str">
        <f t="shared" si="19"/>
        <v>NACE S - 91.11 Library activities</v>
      </c>
    </row>
    <row r="976" spans="1:4">
      <c r="A976" s="380" t="s">
        <v>2516</v>
      </c>
      <c r="B976" t="s">
        <v>2517</v>
      </c>
      <c r="C976" s="380"/>
      <c r="D976" s="380" t="str">
        <f t="shared" si="19"/>
        <v>NACE S - 91.12 Archive activities</v>
      </c>
    </row>
    <row r="977" spans="1:4">
      <c r="A977" s="379" t="s">
        <v>2518</v>
      </c>
      <c r="B977" t="s">
        <v>2519</v>
      </c>
      <c r="C977" s="380"/>
      <c r="D977" s="379" t="str">
        <f t="shared" si="19"/>
        <v>NACE S - 91.2 Museum, collection, historical site and monument activities</v>
      </c>
    </row>
    <row r="978" spans="1:4">
      <c r="A978" s="380" t="s">
        <v>2520</v>
      </c>
      <c r="B978" t="s">
        <v>2521</v>
      </c>
      <c r="C978" s="380"/>
      <c r="D978" s="380" t="str">
        <f t="shared" si="19"/>
        <v>NACE S - 91.21 Museum and collection activities</v>
      </c>
    </row>
    <row r="979" spans="1:4">
      <c r="A979" s="380" t="s">
        <v>2522</v>
      </c>
      <c r="B979" t="s">
        <v>2523</v>
      </c>
      <c r="C979" s="380"/>
      <c r="D979" s="380" t="str">
        <f t="shared" si="19"/>
        <v>NACE S - 91.22 Historical site and monument activities</v>
      </c>
    </row>
    <row r="980" spans="1:4">
      <c r="A980" s="379" t="s">
        <v>2524</v>
      </c>
      <c r="B980" t="s">
        <v>2525</v>
      </c>
      <c r="C980" s="380"/>
      <c r="D980" s="379" t="str">
        <f t="shared" si="19"/>
        <v>NACE S - 91.3 Conservation, restoration and other support activities for cultural heritage</v>
      </c>
    </row>
    <row r="981" spans="1:4">
      <c r="A981" s="380" t="s">
        <v>2526</v>
      </c>
      <c r="B981" t="s">
        <v>2527</v>
      </c>
      <c r="C981" s="380"/>
      <c r="D981" s="380" t="str">
        <f t="shared" si="19"/>
        <v>NACE S - 91.30 Conservation, restoration and other support activities for cultural heritage</v>
      </c>
    </row>
    <row r="982" spans="1:4">
      <c r="A982" s="379" t="s">
        <v>2528</v>
      </c>
      <c r="B982" t="s">
        <v>2529</v>
      </c>
      <c r="C982" s="380"/>
      <c r="D982" s="379" t="str">
        <f t="shared" si="19"/>
        <v>NACE S - 91.4 Botanical and zoological garden and nature reserve activities</v>
      </c>
    </row>
    <row r="983" spans="1:4">
      <c r="A983" s="380" t="s">
        <v>2530</v>
      </c>
      <c r="B983" t="s">
        <v>2531</v>
      </c>
      <c r="C983" s="380"/>
      <c r="D983" s="380" t="str">
        <f t="shared" si="19"/>
        <v>NACE S - 91.41 Botanical and zoological garden activities</v>
      </c>
    </row>
    <row r="984" spans="1:4">
      <c r="A984" s="380" t="s">
        <v>2532</v>
      </c>
      <c r="B984" t="s">
        <v>2533</v>
      </c>
      <c r="C984" s="380"/>
      <c r="D984" s="380" t="str">
        <f t="shared" si="19"/>
        <v>NACE S - 91.42 Nature reserve activities</v>
      </c>
    </row>
    <row r="985" spans="1:4">
      <c r="A985" s="376" t="s">
        <v>2534</v>
      </c>
      <c r="B985" t="s">
        <v>2535</v>
      </c>
      <c r="C985" s="380"/>
      <c r="D985" s="376" t="str">
        <f t="shared" si="19"/>
        <v>NACE S - 92 Gambling and betting activities</v>
      </c>
    </row>
    <row r="986" spans="1:4">
      <c r="A986" s="379" t="s">
        <v>2536</v>
      </c>
      <c r="B986" t="s">
        <v>2537</v>
      </c>
      <c r="C986" s="380"/>
      <c r="D986" s="379" t="str">
        <f t="shared" si="19"/>
        <v>NACE S - 92.0 Gambling and betting activities</v>
      </c>
    </row>
    <row r="987" spans="1:4">
      <c r="A987" s="380" t="s">
        <v>2538</v>
      </c>
      <c r="B987" t="s">
        <v>2539</v>
      </c>
      <c r="C987" s="380"/>
      <c r="D987" s="380" t="str">
        <f t="shared" si="19"/>
        <v>NACE S - 92.00 Gambling and betting activities</v>
      </c>
    </row>
    <row r="988" spans="1:4">
      <c r="A988" s="376" t="s">
        <v>2540</v>
      </c>
      <c r="B988" t="s">
        <v>2541</v>
      </c>
      <c r="C988" s="380"/>
      <c r="D988" s="376" t="str">
        <f t="shared" si="19"/>
        <v>NACE S - 93 Sports activities and amusement and recreation activities</v>
      </c>
    </row>
    <row r="989" spans="1:4">
      <c r="A989" s="379" t="s">
        <v>2542</v>
      </c>
      <c r="B989" t="s">
        <v>2543</v>
      </c>
      <c r="C989" s="380"/>
      <c r="D989" s="379" t="str">
        <f t="shared" si="19"/>
        <v>NACE S - 93.1 Sports activities</v>
      </c>
    </row>
    <row r="990" spans="1:4">
      <c r="A990" s="380" t="s">
        <v>2544</v>
      </c>
      <c r="B990" t="s">
        <v>2545</v>
      </c>
      <c r="C990" s="380"/>
      <c r="D990" s="380" t="str">
        <f t="shared" si="19"/>
        <v>NACE S - 93.11 Operation of sports facilities</v>
      </c>
    </row>
    <row r="991" spans="1:4">
      <c r="A991" s="380" t="s">
        <v>2546</v>
      </c>
      <c r="B991" t="s">
        <v>2547</v>
      </c>
      <c r="C991" s="380"/>
      <c r="D991" s="380" t="str">
        <f t="shared" si="19"/>
        <v>NACE S - 93.12 Activities of sports clubs</v>
      </c>
    </row>
    <row r="992" spans="1:4">
      <c r="A992" s="380" t="s">
        <v>2548</v>
      </c>
      <c r="B992" t="s">
        <v>2549</v>
      </c>
      <c r="C992" s="380"/>
      <c r="D992" s="380" t="str">
        <f t="shared" si="19"/>
        <v>NACE S - 93.13 Activities of fitness centres</v>
      </c>
    </row>
    <row r="993" spans="1:4">
      <c r="A993" s="380" t="s">
        <v>2550</v>
      </c>
      <c r="B993" t="s">
        <v>2551</v>
      </c>
      <c r="C993" s="380"/>
      <c r="D993" s="380" t="str">
        <f t="shared" si="19"/>
        <v>NACE S - 93.19 Sports activities n.e.c.</v>
      </c>
    </row>
    <row r="994" spans="1:4">
      <c r="A994" s="379" t="s">
        <v>2552</v>
      </c>
      <c r="B994" t="s">
        <v>2553</v>
      </c>
      <c r="C994" s="380"/>
      <c r="D994" s="379" t="str">
        <f t="shared" si="19"/>
        <v>NACE S - 93.2 Amusement and recreation activities</v>
      </c>
    </row>
    <row r="995" spans="1:4">
      <c r="A995" s="380" t="s">
        <v>2554</v>
      </c>
      <c r="B995" t="s">
        <v>2555</v>
      </c>
      <c r="C995" s="380"/>
      <c r="D995" s="380" t="str">
        <f t="shared" si="19"/>
        <v>NACE S - 93.21 Activities of amusement parks and theme parks</v>
      </c>
    </row>
    <row r="996" spans="1:4">
      <c r="A996" s="380" t="s">
        <v>2556</v>
      </c>
      <c r="B996" t="s">
        <v>2557</v>
      </c>
      <c r="C996" s="380"/>
      <c r="D996" s="380" t="str">
        <f t="shared" si="19"/>
        <v>NACE S - 93.29 Amusement and recreation activities n.e.c.</v>
      </c>
    </row>
    <row r="997" spans="1:4">
      <c r="A997" s="377" t="s">
        <v>2558</v>
      </c>
      <c r="B997" t="s">
        <v>2559</v>
      </c>
      <c r="C997" s="380"/>
      <c r="D997" s="377" t="str">
        <f t="shared" si="19"/>
        <v>NACE T - OTHER SERVICE ACTIVITIES</v>
      </c>
    </row>
    <row r="998" spans="1:4">
      <c r="A998" s="376" t="s">
        <v>2560</v>
      </c>
      <c r="B998" t="s">
        <v>2561</v>
      </c>
      <c r="C998" s="380"/>
      <c r="D998" s="376" t="str">
        <f t="shared" si="19"/>
        <v>NACE T - 94 Activities of membership organisations</v>
      </c>
    </row>
    <row r="999" spans="1:4">
      <c r="A999" s="379" t="s">
        <v>2562</v>
      </c>
      <c r="B999" t="s">
        <v>2563</v>
      </c>
      <c r="C999" s="380"/>
      <c r="D999" s="379" t="str">
        <f t="shared" si="19"/>
        <v>NACE T - 94.1 Activities of business, employers and professional membership organisations</v>
      </c>
    </row>
    <row r="1000" spans="1:4">
      <c r="A1000" s="380" t="s">
        <v>2564</v>
      </c>
      <c r="B1000" t="s">
        <v>2565</v>
      </c>
      <c r="C1000" s="380"/>
      <c r="D1000" s="380" t="str">
        <f t="shared" si="19"/>
        <v>NACE T - 94.11 Activities of business and employers membership organisations</v>
      </c>
    </row>
    <row r="1001" spans="1:4">
      <c r="A1001" s="380" t="s">
        <v>2566</v>
      </c>
      <c r="B1001" t="s">
        <v>2567</v>
      </c>
      <c r="C1001" s="380"/>
      <c r="D1001" s="380" t="str">
        <f t="shared" si="19"/>
        <v>NACE T - 94.12 Activities of professional membership organisations</v>
      </c>
    </row>
    <row r="1002" spans="1:4">
      <c r="A1002" s="379" t="s">
        <v>2568</v>
      </c>
      <c r="B1002" t="s">
        <v>2569</v>
      </c>
      <c r="C1002" s="380"/>
      <c r="D1002" s="379" t="str">
        <f t="shared" si="19"/>
        <v>NACE T - 94.2 Activities of trade unions</v>
      </c>
    </row>
    <row r="1003" spans="1:4">
      <c r="A1003" s="380" t="s">
        <v>2570</v>
      </c>
      <c r="B1003" t="s">
        <v>2571</v>
      </c>
      <c r="C1003" s="380"/>
      <c r="D1003" s="380" t="str">
        <f t="shared" si="19"/>
        <v>NACE T - 94.20 Activities of trade unions</v>
      </c>
    </row>
    <row r="1004" spans="1:4">
      <c r="A1004" s="379" t="s">
        <v>2572</v>
      </c>
      <c r="B1004" t="s">
        <v>2573</v>
      </c>
      <c r="C1004" s="380"/>
      <c r="D1004" s="379" t="str">
        <f t="shared" si="19"/>
        <v>NACE T - 94.9 Activities of other membership organisations</v>
      </c>
    </row>
    <row r="1005" spans="1:4">
      <c r="A1005" s="380" t="s">
        <v>2574</v>
      </c>
      <c r="B1005" t="s">
        <v>2575</v>
      </c>
      <c r="C1005" s="380"/>
      <c r="D1005" s="380" t="str">
        <f t="shared" si="19"/>
        <v>NACE T - 94.91 Activities of religious organisations</v>
      </c>
    </row>
    <row r="1006" spans="1:4">
      <c r="A1006" s="380" t="s">
        <v>2576</v>
      </c>
      <c r="B1006" t="s">
        <v>2577</v>
      </c>
      <c r="C1006" s="380"/>
      <c r="D1006" s="380" t="str">
        <f t="shared" si="19"/>
        <v>NACE T - 94.92 Activities of political organisations</v>
      </c>
    </row>
    <row r="1007" spans="1:4">
      <c r="A1007" s="380" t="s">
        <v>2578</v>
      </c>
      <c r="B1007" t="s">
        <v>2579</v>
      </c>
      <c r="C1007" s="380"/>
      <c r="D1007" s="380" t="str">
        <f t="shared" si="19"/>
        <v>NACE T - 94.99 Activities of other membership organisations n.e.c.</v>
      </c>
    </row>
    <row r="1008" spans="1:4">
      <c r="A1008" s="376" t="s">
        <v>2580</v>
      </c>
      <c r="B1008" t="s">
        <v>2581</v>
      </c>
      <c r="C1008" s="380"/>
      <c r="D1008" s="376" t="str">
        <f t="shared" si="19"/>
        <v>NACE T - 95 Repair and maintenance of computers, personal and household goods, and motor vehicles and motorcycles</v>
      </c>
    </row>
    <row r="1009" spans="1:4">
      <c r="A1009" s="379" t="s">
        <v>2582</v>
      </c>
      <c r="B1009" t="s">
        <v>2583</v>
      </c>
      <c r="C1009" s="380"/>
      <c r="D1009" s="379" t="str">
        <f t="shared" si="19"/>
        <v>NACE T - 95.1 Repair and maintenance of computers and communication equipment</v>
      </c>
    </row>
    <row r="1010" spans="1:4">
      <c r="A1010" s="380" t="s">
        <v>2584</v>
      </c>
      <c r="B1010" t="s">
        <v>2585</v>
      </c>
      <c r="C1010" s="380"/>
      <c r="D1010" s="380" t="str">
        <f t="shared" si="19"/>
        <v>NACE T - 95.10 Repair and maintenance of computers and communication equipment</v>
      </c>
    </row>
    <row r="1011" spans="1:4">
      <c r="A1011" s="379" t="s">
        <v>2586</v>
      </c>
      <c r="B1011" t="s">
        <v>2587</v>
      </c>
      <c r="C1011" s="380"/>
      <c r="D1011" s="379" t="str">
        <f t="shared" si="19"/>
        <v>NACE T - 95.2 Repair and maintenance of personal and household goods</v>
      </c>
    </row>
    <row r="1012" spans="1:4">
      <c r="A1012" s="380" t="s">
        <v>2588</v>
      </c>
      <c r="B1012" t="s">
        <v>2589</v>
      </c>
      <c r="C1012" s="380"/>
      <c r="D1012" s="380" t="str">
        <f t="shared" si="19"/>
        <v>NACE T - 95.21 Repair and maintenance of consumer electronics</v>
      </c>
    </row>
    <row r="1013" spans="1:4">
      <c r="A1013" s="380" t="s">
        <v>2590</v>
      </c>
      <c r="B1013" t="s">
        <v>2591</v>
      </c>
      <c r="C1013" s="380"/>
      <c r="D1013" s="380" t="str">
        <f t="shared" si="19"/>
        <v>NACE T - 95.22 Repair and maintenance of household appliances and home and garden equipment</v>
      </c>
    </row>
    <row r="1014" spans="1:4">
      <c r="A1014" s="380" t="s">
        <v>2592</v>
      </c>
      <c r="B1014" t="s">
        <v>2593</v>
      </c>
      <c r="C1014" s="380"/>
      <c r="D1014" s="380" t="str">
        <f t="shared" si="19"/>
        <v>NACE T - 95.23 Repair and maintenance of footwear and leather goods</v>
      </c>
    </row>
    <row r="1015" spans="1:4">
      <c r="A1015" s="380" t="s">
        <v>2594</v>
      </c>
      <c r="B1015" t="s">
        <v>2595</v>
      </c>
      <c r="C1015" s="380"/>
      <c r="D1015" s="380" t="str">
        <f t="shared" si="19"/>
        <v>NACE T - 95.24 Repair and maintenance of furniture and home furnishings</v>
      </c>
    </row>
    <row r="1016" spans="1:4">
      <c r="A1016" s="380" t="s">
        <v>2596</v>
      </c>
      <c r="B1016" t="s">
        <v>2597</v>
      </c>
      <c r="C1016" s="380"/>
      <c r="D1016" s="380" t="str">
        <f t="shared" si="19"/>
        <v>NACE T - 95.25 Repair and maintenance of watches, clocks and jewellery</v>
      </c>
    </row>
    <row r="1017" spans="1:4">
      <c r="A1017" s="380" t="s">
        <v>2598</v>
      </c>
      <c r="B1017" t="s">
        <v>2599</v>
      </c>
      <c r="C1017" s="380"/>
      <c r="D1017" s="380" t="str">
        <f t="shared" si="19"/>
        <v>NACE T - 95.29 Repair and maintenance of personal and household goods n.e.c.</v>
      </c>
    </row>
    <row r="1018" spans="1:4">
      <c r="A1018" s="379" t="s">
        <v>2600</v>
      </c>
      <c r="B1018" t="s">
        <v>2601</v>
      </c>
      <c r="C1018" s="380"/>
      <c r="D1018" s="379" t="str">
        <f t="shared" si="19"/>
        <v>NACE T - 95.3 Repair and maintenance of motor vehicles and motorcycles</v>
      </c>
    </row>
    <row r="1019" spans="1:4">
      <c r="A1019" s="380" t="s">
        <v>2602</v>
      </c>
      <c r="B1019" t="s">
        <v>2603</v>
      </c>
      <c r="C1019" s="380"/>
      <c r="D1019" s="380" t="str">
        <f t="shared" si="19"/>
        <v>NACE T - 95.31 Repair and maintenance of motor vehicles</v>
      </c>
    </row>
    <row r="1020" spans="1:4">
      <c r="A1020" s="380" t="s">
        <v>2604</v>
      </c>
      <c r="B1020" t="s">
        <v>2605</v>
      </c>
      <c r="C1020" s="380"/>
      <c r="D1020" s="380" t="str">
        <f t="shared" si="19"/>
        <v>NACE T - 95.32 Repair and maintenance of motorcycles</v>
      </c>
    </row>
    <row r="1021" spans="1:4">
      <c r="A1021" s="379" t="s">
        <v>2606</v>
      </c>
      <c r="B1021" t="s">
        <v>2607</v>
      </c>
      <c r="C1021" s="380"/>
      <c r="D1021" s="379" t="str">
        <f t="shared" si="19"/>
        <v>NACE T - 95.4 Intermediation service activities for repair and maintenance of computers, personal and household goods, and motor vehicles and motorcycles</v>
      </c>
    </row>
    <row r="1022" spans="1:4">
      <c r="A1022" s="380" t="s">
        <v>2608</v>
      </c>
      <c r="B1022" t="s">
        <v>2609</v>
      </c>
      <c r="C1022" s="380"/>
      <c r="D1022" s="380" t="str">
        <f t="shared" si="19"/>
        <v>NACE T - 95.40 Intermediation service activities for repair and maintenance of computers, personal and household goods, and motor vehicles and motorcycles</v>
      </c>
    </row>
    <row r="1023" spans="1:4">
      <c r="A1023" s="376" t="s">
        <v>2610</v>
      </c>
      <c r="B1023" t="s">
        <v>2611</v>
      </c>
      <c r="C1023" s="380"/>
      <c r="D1023" s="376" t="str">
        <f t="shared" si="19"/>
        <v>NACE T - 96 Personal service activities</v>
      </c>
    </row>
    <row r="1024" spans="1:4">
      <c r="A1024" s="379" t="s">
        <v>2612</v>
      </c>
      <c r="B1024" t="s">
        <v>2613</v>
      </c>
      <c r="C1024" s="380"/>
      <c r="D1024" s="379" t="str">
        <f t="shared" si="19"/>
        <v>NACE T - 96.1 Washing and cleaning of textile and fur products</v>
      </c>
    </row>
    <row r="1025" spans="1:4">
      <c r="A1025" s="380" t="s">
        <v>2614</v>
      </c>
      <c r="B1025" t="s">
        <v>2615</v>
      </c>
      <c r="C1025" s="380"/>
      <c r="D1025" s="380" t="str">
        <f t="shared" si="19"/>
        <v>NACE T - 96.10 Washing and cleaning of textile and fur products</v>
      </c>
    </row>
    <row r="1026" spans="1:4">
      <c r="A1026" s="379" t="s">
        <v>2616</v>
      </c>
      <c r="B1026" t="s">
        <v>2617</v>
      </c>
      <c r="C1026" s="380"/>
      <c r="D1026" s="379" t="str">
        <f t="shared" ref="D1026:D1049" si="20">_xlfn.CONCAT("NACE ", A1026)</f>
        <v>NACE T - 96.2 Hairdressing, beauty treatment, day spa and similar activities</v>
      </c>
    </row>
    <row r="1027" spans="1:4">
      <c r="A1027" s="380" t="s">
        <v>2618</v>
      </c>
      <c r="B1027" t="s">
        <v>2619</v>
      </c>
      <c r="C1027" s="380"/>
      <c r="D1027" s="380" t="str">
        <f t="shared" si="20"/>
        <v>NACE T - 96.21 Hairdressing and barber activities</v>
      </c>
    </row>
    <row r="1028" spans="1:4">
      <c r="A1028" s="380" t="s">
        <v>2620</v>
      </c>
      <c r="B1028" t="s">
        <v>2621</v>
      </c>
      <c r="C1028" s="380"/>
      <c r="D1028" s="380" t="str">
        <f t="shared" si="20"/>
        <v>NACE T - 96.22 Beauty care and other beauty treatment activities</v>
      </c>
    </row>
    <row r="1029" spans="1:4">
      <c r="A1029" s="380" t="s">
        <v>2622</v>
      </c>
      <c r="B1029" t="s">
        <v>2623</v>
      </c>
      <c r="C1029" s="380"/>
      <c r="D1029" s="380" t="str">
        <f t="shared" si="20"/>
        <v>NACE T - 96.23 Day spa, sauna and steam bath activities</v>
      </c>
    </row>
    <row r="1030" spans="1:4">
      <c r="A1030" s="379" t="s">
        <v>2624</v>
      </c>
      <c r="B1030" t="s">
        <v>2625</v>
      </c>
      <c r="C1030" s="380"/>
      <c r="D1030" s="379" t="str">
        <f t="shared" si="20"/>
        <v>NACE T - 96.3 Funeral and related activities</v>
      </c>
    </row>
    <row r="1031" spans="1:4">
      <c r="A1031" s="380" t="s">
        <v>2626</v>
      </c>
      <c r="B1031" t="s">
        <v>2627</v>
      </c>
      <c r="C1031" s="380"/>
      <c r="D1031" s="380" t="str">
        <f t="shared" si="20"/>
        <v>NACE T - 96.30 Funeral and related activities</v>
      </c>
    </row>
    <row r="1032" spans="1:4">
      <c r="A1032" s="379" t="s">
        <v>2628</v>
      </c>
      <c r="B1032" t="s">
        <v>2629</v>
      </c>
      <c r="C1032" s="380"/>
      <c r="D1032" s="379" t="str">
        <f t="shared" si="20"/>
        <v>NACE T - 96.4 Intermediation service activities for personal services</v>
      </c>
    </row>
    <row r="1033" spans="1:4">
      <c r="A1033" s="380" t="s">
        <v>2630</v>
      </c>
      <c r="B1033" t="s">
        <v>2631</v>
      </c>
      <c r="C1033" s="380"/>
      <c r="D1033" s="380" t="str">
        <f t="shared" si="20"/>
        <v>NACE T - 96.40 Intermediation service activities for personal services</v>
      </c>
    </row>
    <row r="1034" spans="1:4">
      <c r="A1034" s="379" t="s">
        <v>2632</v>
      </c>
      <c r="B1034" t="s">
        <v>2633</v>
      </c>
      <c r="C1034" s="380"/>
      <c r="D1034" s="379" t="str">
        <f t="shared" si="20"/>
        <v>NACE T - 96.9 Other personal service activities</v>
      </c>
    </row>
    <row r="1035" spans="1:4">
      <c r="A1035" s="380" t="s">
        <v>2634</v>
      </c>
      <c r="B1035" t="s">
        <v>2635</v>
      </c>
      <c r="C1035" s="380"/>
      <c r="D1035" s="380" t="str">
        <f t="shared" si="20"/>
        <v>NACE T - 96.91 Provision of domestic personal service activities</v>
      </c>
    </row>
    <row r="1036" spans="1:4">
      <c r="A1036" s="380" t="s">
        <v>2636</v>
      </c>
      <c r="B1036" t="s">
        <v>2637</v>
      </c>
      <c r="C1036" s="380"/>
      <c r="D1036" s="380" t="str">
        <f t="shared" si="20"/>
        <v>NACE T - 96.99 Other personal service activities n.e.c.</v>
      </c>
    </row>
    <row r="1037" spans="1:4">
      <c r="A1037" s="377" t="s">
        <v>2638</v>
      </c>
      <c r="B1037" t="s">
        <v>2639</v>
      </c>
      <c r="C1037" s="380"/>
      <c r="D1037" s="377" t="str">
        <f t="shared" si="20"/>
        <v>NACE U - ACTIVITIES OF HOUSEHOLDS AS EMPLOYERS AND UNDIFFERENTIATED GOODS – AND SERVICE-PRODUCING ACTIVITIES OF HOUSEHOLDS FOR OWN USE</v>
      </c>
    </row>
    <row r="1038" spans="1:4">
      <c r="A1038" s="376" t="s">
        <v>2640</v>
      </c>
      <c r="B1038" t="s">
        <v>2641</v>
      </c>
      <c r="C1038" s="380"/>
      <c r="D1038" s="376" t="str">
        <f t="shared" si="20"/>
        <v>NACE U - 97 Activities of households as employers of domestic personnel</v>
      </c>
    </row>
    <row r="1039" spans="1:4">
      <c r="A1039" s="379" t="s">
        <v>2642</v>
      </c>
      <c r="B1039" t="s">
        <v>2643</v>
      </c>
      <c r="C1039" s="380"/>
      <c r="D1039" s="379" t="str">
        <f t="shared" si="20"/>
        <v>NACE U - 97.0 Activities of households as employers of domestic personnel</v>
      </c>
    </row>
    <row r="1040" spans="1:4">
      <c r="A1040" s="380" t="s">
        <v>2644</v>
      </c>
      <c r="B1040" t="s">
        <v>2645</v>
      </c>
      <c r="C1040" s="380"/>
      <c r="D1040" s="380" t="str">
        <f t="shared" si="20"/>
        <v>NACE U - 97.00 Activities of households as employers of domestic personnel</v>
      </c>
    </row>
    <row r="1041" spans="1:4">
      <c r="A1041" s="376" t="s">
        <v>2646</v>
      </c>
      <c r="B1041" t="s">
        <v>2647</v>
      </c>
      <c r="C1041" s="380"/>
      <c r="D1041" s="376" t="str">
        <f t="shared" si="20"/>
        <v>NACE U - 98 Undifferentiated goods- and service-producing activities of private households for own use</v>
      </c>
    </row>
    <row r="1042" spans="1:4">
      <c r="A1042" s="379" t="s">
        <v>2648</v>
      </c>
      <c r="B1042" t="s">
        <v>2649</v>
      </c>
      <c r="C1042" s="380"/>
      <c r="D1042" s="379" t="str">
        <f t="shared" si="20"/>
        <v>NACE U - 98.1 Undifferentiated goods-producing activities of private households for own use</v>
      </c>
    </row>
    <row r="1043" spans="1:4">
      <c r="A1043" s="380" t="s">
        <v>2650</v>
      </c>
      <c r="B1043" t="s">
        <v>2651</v>
      </c>
      <c r="C1043" s="380"/>
      <c r="D1043" s="380" t="str">
        <f t="shared" si="20"/>
        <v>NACE U - 98.10 Undifferentiated goods-producing activities of private households for own use</v>
      </c>
    </row>
    <row r="1044" spans="1:4">
      <c r="A1044" s="379" t="s">
        <v>2652</v>
      </c>
      <c r="B1044" t="s">
        <v>2653</v>
      </c>
      <c r="C1044" s="380"/>
      <c r="D1044" s="379" t="str">
        <f t="shared" si="20"/>
        <v>NACE U - 98.2 Undifferentiated service-producing activities of private households for own use</v>
      </c>
    </row>
    <row r="1045" spans="1:4">
      <c r="A1045" s="380" t="s">
        <v>2654</v>
      </c>
      <c r="B1045" t="s">
        <v>2655</v>
      </c>
      <c r="C1045" s="380"/>
      <c r="D1045" s="380" t="str">
        <f t="shared" si="20"/>
        <v>NACE U - 98.20 Undifferentiated service-producing activities of private households for own use</v>
      </c>
    </row>
    <row r="1046" spans="1:4">
      <c r="A1046" s="377" t="s">
        <v>2656</v>
      </c>
      <c r="B1046" t="s">
        <v>2657</v>
      </c>
      <c r="C1046" s="380"/>
      <c r="D1046" s="377" t="str">
        <f t="shared" si="20"/>
        <v>NACE V - ACTIVITIES OF EXTRATERRITORIAL ORGANISATIONS AND BODIES</v>
      </c>
    </row>
    <row r="1047" spans="1:4">
      <c r="A1047" s="376" t="s">
        <v>2658</v>
      </c>
      <c r="B1047" t="s">
        <v>2659</v>
      </c>
      <c r="C1047" s="380"/>
      <c r="D1047" s="376" t="str">
        <f t="shared" si="20"/>
        <v>NACE V - 99 Activities of extraterritorial organisations and bodies</v>
      </c>
    </row>
    <row r="1048" spans="1:4">
      <c r="A1048" s="379" t="s">
        <v>2660</v>
      </c>
      <c r="B1048" t="s">
        <v>2661</v>
      </c>
      <c r="C1048" s="380"/>
      <c r="D1048" s="379" t="str">
        <f t="shared" si="20"/>
        <v>NACE V - 99.0 Activities of extraterritorial organisations and bodies</v>
      </c>
    </row>
    <row r="1049" spans="1:4">
      <c r="A1049" s="380" t="s">
        <v>2662</v>
      </c>
      <c r="B1049" t="s">
        <v>2663</v>
      </c>
      <c r="C1049" s="380"/>
      <c r="D1049" s="380" t="str">
        <f t="shared" si="20"/>
        <v>NACE V - 99.00 Activities of extraterritorial organisations and bodies</v>
      </c>
    </row>
  </sheetData>
  <sheetProtection algorithmName="SHA-512" hashValue="FltyPb61zybsGXAAPHzYNn6ZPZ3MK9mRwIZMFbF69RHBUc6zm33Ke38188NMhrRaOkZEJy+Mv0YdUbFgQHjraw==" saltValue="A17Z99w0iP6iW0urf7sMLw==" spinCount="100000" sheet="1" objects="1" scenarios="1"/>
  <sortState ref="C2:C1048">
    <sortCondition ref="C2:C1048"/>
  </sortState>
  <phoneticPr fontId="3" type="noConversion"/>
  <dataValidations count="1">
    <dataValidation type="list" allowBlank="1" showInputMessage="1" showErrorMessage="1" sqref="D3:D1049">
      <formula1>$D$3:$D$1049</formula1>
    </dataValidation>
  </dataValidations>
  <pageMargins left="0.7" right="0.7" top="0.75" bottom="0.75" header="0.3" footer="0.3"/>
  <pageSetup paperSize="9" orientation="portrait" horizontalDpi="4294967293" vertic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G26"/>
  <sheetViews>
    <sheetView topLeftCell="D1" workbookViewId="0"/>
  </sheetViews>
  <sheetFormatPr baseColWidth="10" defaultColWidth="8.875" defaultRowHeight="14.25"/>
  <cols>
    <col min="1" max="1" width="19.5" bestFit="1" customWidth="1"/>
    <col min="2" max="2" width="59.625" bestFit="1" customWidth="1"/>
    <col min="3" max="3" width="27.375" customWidth="1"/>
    <col min="4" max="4" width="89" customWidth="1"/>
    <col min="5" max="5" width="35.875" customWidth="1"/>
    <col min="6" max="6" width="26.625" customWidth="1"/>
    <col min="7" max="7" width="44.25" bestFit="1" customWidth="1"/>
  </cols>
  <sheetData>
    <row r="1" spans="1:7">
      <c r="A1" t="s">
        <v>3791</v>
      </c>
      <c r="B1" t="str">
        <f>"from " &amp; template_reporting_period_startdate &amp; " to " &amp; template_reporting_period_enddate</f>
        <v>from 2024-01-01 to 2024-12-31</v>
      </c>
      <c r="D1" t="s">
        <v>4338</v>
      </c>
      <c r="E1" t="s">
        <v>4339</v>
      </c>
      <c r="F1" t="s">
        <v>4340</v>
      </c>
      <c r="G1" t="s">
        <v>4341</v>
      </c>
    </row>
    <row r="2" spans="1:7" ht="13.9" customHeight="1">
      <c r="A2" t="s">
        <v>3792</v>
      </c>
      <c r="B2" t="str">
        <f xml:space="preserve"> "at "  &amp; template_reporting_period_enddate</f>
        <v>at 2024-12-31</v>
      </c>
      <c r="D2" s="367" t="str">
        <f>IF(AND('General Information'!$H$107=TRUE, 'General Information'!D108&lt;&gt;"", 'General Information'!E108&lt;&gt;"", 'General Information'!F108&lt;&gt;"", 'General Information'!G108&lt;&gt;""), _xlfn.WEBSERVICE("https://nominatim.openstreetmap.org/search?q=" &amp; 'General Information'!K108 &amp; "&amp;format=json&amp;polygon=1&amp;addressdetails=1"), "")</f>
        <v>[{"place_id":63835727,"licence":"Data © OpenStreetMap contributors, ODbL 1.0. http://osm.org/copyright","osm_type":"way","osm_id":159163245,"lat":"47.6988403","lon":"11.4026248","class":"building","type":"yes","place_rank":30,"importance":5.172426947428119e-05,"addresstype":"building","name":"","display_name":"10, Mondscheinweg, Gewerbegebiet Mondscheinweg, Pechlern, Benediktbeuern, Benediktbeuern (VGem), Landkreis Bad Tölz-Wolfratshausen, Bayern, 83671, Deutschland","address":{"house_number":"10","road":"Mondscheinweg","commercial":"Gewerbegebiet Mondscheinweg","hamlet":"Pechlern","village":"Benediktbeuern","municipality":"Benediktbeuern (VGem)","county":"Landkreis Bad Tölz-Wolfratshausen","state":"Bayern","ISO3166-2-lvl4":"DE-BY","postcode":"83671","country":"Deutschland","country_code":"de"},"boundingbox":["47.6987430","47.6989366","11.4024123","11.4028386"]}]</v>
      </c>
      <c r="E2" s="368" t="str">
        <f t="shared" ref="E2:E26" si="0">MID(D2,SEARCH("""lat"":""",D2)+7,SEARCH("""lon"":""",D2)-SEARCH("""lat"":""",D2)-9)</f>
        <v>47.6988403</v>
      </c>
      <c r="F2" s="368" t="str">
        <f t="shared" ref="F2:F26" si="1">MID(D2, SEARCH("""lon"":""", D2) + 7, SEARCH("""class""", D2) - SEARCH("""lon"":""", D2) - 9)</f>
        <v>11.4026248</v>
      </c>
      <c r="G2" t="str">
        <f t="shared" ref="G2:G26" si="2">E2 &amp; "," &amp; F2</f>
        <v>47.6988403,11.4026248</v>
      </c>
    </row>
    <row r="3" spans="1:7" ht="15.6" customHeight="1">
      <c r="D3" s="367" t="str">
        <f>IF(AND('General Information'!$H$107=TRUE, 'General Information'!D109&lt;&gt;"", 'General Information'!E109&lt;&gt;"", 'General Information'!F109&lt;&gt;"", 'General Information'!G109&lt;&gt;""), _xlfn.WEBSERVICE("https://nominatim.openstreetmap.org/search?q=" &amp; 'General Information'!K109 &amp; "&amp;format=json&amp;polygon=1&amp;addressdetails=1"), "")</f>
        <v/>
      </c>
      <c r="E3" s="368" t="e">
        <f t="shared" si="0"/>
        <v>#VALUE!</v>
      </c>
      <c r="F3" s="368" t="e">
        <f t="shared" si="1"/>
        <v>#VALUE!</v>
      </c>
      <c r="G3" t="e">
        <f t="shared" si="2"/>
        <v>#VALUE!</v>
      </c>
    </row>
    <row r="4" spans="1:7">
      <c r="D4" s="367" t="str">
        <f>IF(AND('General Information'!$H$107=TRUE, 'General Information'!D110&lt;&gt;"", 'General Information'!E110&lt;&gt;"", 'General Information'!F110&lt;&gt;"", 'General Information'!G110&lt;&gt;""), _xlfn.WEBSERVICE("https://nominatim.openstreetmap.org/search?q=" &amp; 'General Information'!K110 &amp; "&amp;format=json&amp;polygon=1&amp;addressdetails=1"), "")</f>
        <v/>
      </c>
      <c r="E4" s="368" t="e">
        <f t="shared" si="0"/>
        <v>#VALUE!</v>
      </c>
      <c r="F4" s="368" t="e">
        <f t="shared" si="1"/>
        <v>#VALUE!</v>
      </c>
      <c r="G4" t="e">
        <f t="shared" si="2"/>
        <v>#VALUE!</v>
      </c>
    </row>
    <row r="5" spans="1:7">
      <c r="D5" s="367" t="str">
        <f>IF(AND('General Information'!$H$107=TRUE, 'General Information'!D111&lt;&gt;"", 'General Information'!E111&lt;&gt;"", 'General Information'!F111&lt;&gt;"", 'General Information'!G111&lt;&gt;""), _xlfn.WEBSERVICE("https://nominatim.openstreetmap.org/search?q=" &amp; 'General Information'!K111 &amp; "&amp;format=json&amp;polygon=1&amp;addressdetails=1"), "")</f>
        <v/>
      </c>
      <c r="E5" s="368" t="e">
        <f t="shared" si="0"/>
        <v>#VALUE!</v>
      </c>
      <c r="F5" s="368" t="e">
        <f t="shared" si="1"/>
        <v>#VALUE!</v>
      </c>
      <c r="G5" t="e">
        <f t="shared" si="2"/>
        <v>#VALUE!</v>
      </c>
    </row>
    <row r="6" spans="1:7">
      <c r="D6" s="367" t="str">
        <f>IF(AND('General Information'!$H$107=TRUE, 'General Information'!D112&lt;&gt;"", 'General Information'!E112&lt;&gt;"", 'General Information'!F112&lt;&gt;"", 'General Information'!G112&lt;&gt;""), _xlfn.WEBSERVICE("https://nominatim.openstreetmap.org/search?q=" &amp; 'General Information'!K112 &amp; "&amp;format=json&amp;polygon=1&amp;addressdetails=1"), "")</f>
        <v/>
      </c>
      <c r="E6" s="368" t="e">
        <f t="shared" si="0"/>
        <v>#VALUE!</v>
      </c>
      <c r="F6" s="368" t="e">
        <f t="shared" si="1"/>
        <v>#VALUE!</v>
      </c>
      <c r="G6" t="e">
        <f t="shared" si="2"/>
        <v>#VALUE!</v>
      </c>
    </row>
    <row r="7" spans="1:7">
      <c r="D7" s="367" t="str">
        <f>IF(AND('General Information'!$H$107=TRUE, 'General Information'!D113&lt;&gt;"", 'General Information'!E113&lt;&gt;"", 'General Information'!F113&lt;&gt;"", 'General Information'!G113&lt;&gt;""), _xlfn.WEBSERVICE("https://nominatim.openstreetmap.org/search?q=" &amp; 'General Information'!K113 &amp; "&amp;format=json&amp;polygon=1&amp;addressdetails=1"), "")</f>
        <v/>
      </c>
      <c r="E7" s="368" t="e">
        <f t="shared" si="0"/>
        <v>#VALUE!</v>
      </c>
      <c r="F7" s="368" t="e">
        <f t="shared" si="1"/>
        <v>#VALUE!</v>
      </c>
      <c r="G7" t="e">
        <f t="shared" si="2"/>
        <v>#VALUE!</v>
      </c>
    </row>
    <row r="8" spans="1:7">
      <c r="D8" s="367" t="str">
        <f>IF(AND('General Information'!$H$107=TRUE, 'General Information'!D114&lt;&gt;"", 'General Information'!E114&lt;&gt;"", 'General Information'!F114&lt;&gt;"", 'General Information'!G114&lt;&gt;""), _xlfn.WEBSERVICE("https://nominatim.openstreetmap.org/search?q=" &amp; 'General Information'!K114 &amp; "&amp;format=json&amp;polygon=1&amp;addressdetails=1"), "")</f>
        <v/>
      </c>
      <c r="E8" s="368" t="e">
        <f t="shared" si="0"/>
        <v>#VALUE!</v>
      </c>
      <c r="F8" s="368" t="e">
        <f t="shared" si="1"/>
        <v>#VALUE!</v>
      </c>
      <c r="G8" t="e">
        <f t="shared" si="2"/>
        <v>#VALUE!</v>
      </c>
    </row>
    <row r="9" spans="1:7">
      <c r="D9" s="367" t="str">
        <f>IF(AND('General Information'!$H$107=TRUE, 'General Information'!D115&lt;&gt;"", 'General Information'!E115&lt;&gt;"", 'General Information'!F115&lt;&gt;"", 'General Information'!G115&lt;&gt;""), _xlfn.WEBSERVICE("https://nominatim.openstreetmap.org/search?q=" &amp; 'General Information'!K115 &amp; "&amp;format=json&amp;polygon=1&amp;addressdetails=1"), "")</f>
        <v/>
      </c>
      <c r="E9" s="368" t="e">
        <f t="shared" si="0"/>
        <v>#VALUE!</v>
      </c>
      <c r="F9" s="368" t="e">
        <f t="shared" si="1"/>
        <v>#VALUE!</v>
      </c>
      <c r="G9" t="e">
        <f t="shared" si="2"/>
        <v>#VALUE!</v>
      </c>
    </row>
    <row r="10" spans="1:7">
      <c r="D10" s="367" t="str">
        <f>IF(AND('General Information'!$H$107=TRUE, 'General Information'!D116&lt;&gt;"", 'General Information'!E116&lt;&gt;"", 'General Information'!F116&lt;&gt;"", 'General Information'!G116&lt;&gt;""), _xlfn.WEBSERVICE("https://nominatim.openstreetmap.org/search?q=" &amp; 'General Information'!K116 &amp; "&amp;format=json&amp;polygon=1&amp;addressdetails=1"), "")</f>
        <v/>
      </c>
      <c r="E10" s="368" t="e">
        <f t="shared" si="0"/>
        <v>#VALUE!</v>
      </c>
      <c r="F10" s="368" t="e">
        <f t="shared" si="1"/>
        <v>#VALUE!</v>
      </c>
      <c r="G10" t="e">
        <f t="shared" si="2"/>
        <v>#VALUE!</v>
      </c>
    </row>
    <row r="11" spans="1:7">
      <c r="D11" s="367" t="str">
        <f>IF(AND('General Information'!$H$107=TRUE, 'General Information'!D117&lt;&gt;"", 'General Information'!E117&lt;&gt;"", 'General Information'!F117&lt;&gt;"", 'General Information'!G117&lt;&gt;""), _xlfn.WEBSERVICE("https://nominatim.openstreetmap.org/search?q=" &amp; 'General Information'!K117 &amp; "&amp;format=json&amp;polygon=1&amp;addressdetails=1"), "")</f>
        <v/>
      </c>
      <c r="E11" s="368" t="e">
        <f t="shared" si="0"/>
        <v>#VALUE!</v>
      </c>
      <c r="F11" s="368" t="e">
        <f t="shared" si="1"/>
        <v>#VALUE!</v>
      </c>
      <c r="G11" t="e">
        <f t="shared" si="2"/>
        <v>#VALUE!</v>
      </c>
    </row>
    <row r="12" spans="1:7">
      <c r="D12" s="367" t="str">
        <f>IF(AND('General Information'!$H$107=TRUE, 'General Information'!D118&lt;&gt;"", 'General Information'!E118&lt;&gt;"", 'General Information'!F118&lt;&gt;"", 'General Information'!G118&lt;&gt;""), _xlfn.WEBSERVICE("https://nominatim.openstreetmap.org/search?q=" &amp; 'General Information'!K118 &amp; "&amp;format=json&amp;polygon=1&amp;addressdetails=1"), "")</f>
        <v/>
      </c>
      <c r="E12" s="368" t="e">
        <f t="shared" si="0"/>
        <v>#VALUE!</v>
      </c>
      <c r="F12" s="368" t="e">
        <f t="shared" si="1"/>
        <v>#VALUE!</v>
      </c>
      <c r="G12" t="e">
        <f t="shared" si="2"/>
        <v>#VALUE!</v>
      </c>
    </row>
    <row r="13" spans="1:7">
      <c r="D13" s="367" t="str">
        <f>IF(AND('General Information'!$H$107=TRUE, 'General Information'!D119&lt;&gt;"", 'General Information'!E119&lt;&gt;"", 'General Information'!F119&lt;&gt;"", 'General Information'!G119&lt;&gt;""), _xlfn.WEBSERVICE("https://nominatim.openstreetmap.org/search?q=" &amp; 'General Information'!K119 &amp; "&amp;format=json&amp;polygon=1&amp;addressdetails=1"), "")</f>
        <v/>
      </c>
      <c r="E13" s="368" t="e">
        <f t="shared" si="0"/>
        <v>#VALUE!</v>
      </c>
      <c r="F13" s="368" t="e">
        <f t="shared" si="1"/>
        <v>#VALUE!</v>
      </c>
      <c r="G13" t="e">
        <f t="shared" si="2"/>
        <v>#VALUE!</v>
      </c>
    </row>
    <row r="14" spans="1:7">
      <c r="D14" s="367" t="str">
        <f>IF(AND('General Information'!$H$107=TRUE, 'General Information'!D120&lt;&gt;"", 'General Information'!E120&lt;&gt;"", 'General Information'!F120&lt;&gt;"", 'General Information'!G120&lt;&gt;""), _xlfn.WEBSERVICE("https://nominatim.openstreetmap.org/search?q=" &amp; 'General Information'!K120 &amp; "&amp;format=json&amp;polygon=1&amp;addressdetails=1"), "")</f>
        <v/>
      </c>
      <c r="E14" s="368" t="e">
        <f t="shared" si="0"/>
        <v>#VALUE!</v>
      </c>
      <c r="F14" s="368" t="e">
        <f t="shared" si="1"/>
        <v>#VALUE!</v>
      </c>
      <c r="G14" t="e">
        <f t="shared" si="2"/>
        <v>#VALUE!</v>
      </c>
    </row>
    <row r="15" spans="1:7">
      <c r="D15" s="367" t="str">
        <f>IF(AND('General Information'!$H$107=TRUE, 'General Information'!D121&lt;&gt;"", 'General Information'!E121&lt;&gt;"", 'General Information'!F121&lt;&gt;"", 'General Information'!G121&lt;&gt;""), _xlfn.WEBSERVICE("https://nominatim.openstreetmap.org/search?q=" &amp; 'General Information'!K121 &amp; "&amp;format=json&amp;polygon=1&amp;addressdetails=1"), "")</f>
        <v/>
      </c>
      <c r="E15" s="368" t="e">
        <f t="shared" si="0"/>
        <v>#VALUE!</v>
      </c>
      <c r="F15" s="368" t="e">
        <f t="shared" si="1"/>
        <v>#VALUE!</v>
      </c>
      <c r="G15" t="e">
        <f t="shared" si="2"/>
        <v>#VALUE!</v>
      </c>
    </row>
    <row r="16" spans="1:7">
      <c r="D16" s="367" t="str">
        <f>IF(AND('General Information'!$H$107=TRUE, 'General Information'!D122&lt;&gt;"", 'General Information'!E122&lt;&gt;"", 'General Information'!F122&lt;&gt;"", 'General Information'!G122&lt;&gt;""), _xlfn.WEBSERVICE("https://nominatim.openstreetmap.org/search?q=" &amp; 'General Information'!K122 &amp; "&amp;format=json&amp;polygon=1&amp;addressdetails=1"), "")</f>
        <v/>
      </c>
      <c r="E16" s="368" t="e">
        <f t="shared" si="0"/>
        <v>#VALUE!</v>
      </c>
      <c r="F16" s="368" t="e">
        <f t="shared" si="1"/>
        <v>#VALUE!</v>
      </c>
      <c r="G16" t="e">
        <f t="shared" si="2"/>
        <v>#VALUE!</v>
      </c>
    </row>
    <row r="17" spans="4:7">
      <c r="D17" s="367" t="str">
        <f>IF(AND('General Information'!$H$107=TRUE, 'General Information'!D123&lt;&gt;"", 'General Information'!E123&lt;&gt;"", 'General Information'!F123&lt;&gt;"", 'General Information'!G123&lt;&gt;""), _xlfn.WEBSERVICE("https://nominatim.openstreetmap.org/search?q=" &amp; 'General Information'!K123 &amp; "&amp;format=json&amp;polygon=1&amp;addressdetails=1"), "")</f>
        <v/>
      </c>
      <c r="E17" s="368" t="e">
        <f t="shared" si="0"/>
        <v>#VALUE!</v>
      </c>
      <c r="F17" s="368" t="e">
        <f t="shared" si="1"/>
        <v>#VALUE!</v>
      </c>
      <c r="G17" t="e">
        <f t="shared" si="2"/>
        <v>#VALUE!</v>
      </c>
    </row>
    <row r="18" spans="4:7">
      <c r="D18" s="367" t="str">
        <f>IF(AND('General Information'!$H$107=TRUE, 'General Information'!D124&lt;&gt;"", 'General Information'!E124&lt;&gt;"", 'General Information'!F124&lt;&gt;"", 'General Information'!G124&lt;&gt;""), _xlfn.WEBSERVICE("https://nominatim.openstreetmap.org/search?q=" &amp; 'General Information'!K124 &amp; "&amp;format=json&amp;polygon=1&amp;addressdetails=1"), "")</f>
        <v/>
      </c>
      <c r="E18" s="368" t="e">
        <f t="shared" si="0"/>
        <v>#VALUE!</v>
      </c>
      <c r="F18" s="368" t="e">
        <f t="shared" si="1"/>
        <v>#VALUE!</v>
      </c>
      <c r="G18" t="e">
        <f t="shared" si="2"/>
        <v>#VALUE!</v>
      </c>
    </row>
    <row r="19" spans="4:7">
      <c r="D19" s="367" t="str">
        <f>IF(AND('General Information'!$H$107=TRUE, 'General Information'!D125&lt;&gt;"", 'General Information'!E125&lt;&gt;"", 'General Information'!F125&lt;&gt;"", 'General Information'!G125&lt;&gt;""), _xlfn.WEBSERVICE("https://nominatim.openstreetmap.org/search?q=" &amp; 'General Information'!K125 &amp; "&amp;format=json&amp;polygon=1&amp;addressdetails=1"), "")</f>
        <v/>
      </c>
      <c r="E19" s="368" t="e">
        <f t="shared" si="0"/>
        <v>#VALUE!</v>
      </c>
      <c r="F19" s="368" t="e">
        <f t="shared" si="1"/>
        <v>#VALUE!</v>
      </c>
      <c r="G19" t="e">
        <f t="shared" si="2"/>
        <v>#VALUE!</v>
      </c>
    </row>
    <row r="20" spans="4:7">
      <c r="D20" s="367" t="str">
        <f>IF(AND('General Information'!$H$107=TRUE, 'General Information'!D126&lt;&gt;"", 'General Information'!E126&lt;&gt;"", 'General Information'!F126&lt;&gt;"", 'General Information'!G126&lt;&gt;""), _xlfn.WEBSERVICE("https://nominatim.openstreetmap.org/search?q=" &amp; 'General Information'!K126 &amp; "&amp;format=json&amp;polygon=1&amp;addressdetails=1"), "")</f>
        <v/>
      </c>
      <c r="E20" s="368" t="e">
        <f t="shared" si="0"/>
        <v>#VALUE!</v>
      </c>
      <c r="F20" s="368" t="e">
        <f t="shared" si="1"/>
        <v>#VALUE!</v>
      </c>
      <c r="G20" t="e">
        <f t="shared" si="2"/>
        <v>#VALUE!</v>
      </c>
    </row>
    <row r="21" spans="4:7">
      <c r="D21" s="367" t="str">
        <f>IF(AND('General Information'!$H$107=TRUE, 'General Information'!D127&lt;&gt;"", 'General Information'!E127&lt;&gt;"", 'General Information'!F127&lt;&gt;"", 'General Information'!G127&lt;&gt;""), _xlfn.WEBSERVICE("https://nominatim.openstreetmap.org/search?q=" &amp; 'General Information'!K127 &amp; "&amp;format=json&amp;polygon=1&amp;addressdetails=1"), "")</f>
        <v/>
      </c>
      <c r="E21" s="368" t="e">
        <f t="shared" si="0"/>
        <v>#VALUE!</v>
      </c>
      <c r="F21" s="368" t="e">
        <f t="shared" si="1"/>
        <v>#VALUE!</v>
      </c>
      <c r="G21" t="e">
        <f t="shared" si="2"/>
        <v>#VALUE!</v>
      </c>
    </row>
    <row r="22" spans="4:7">
      <c r="D22" s="367" t="str">
        <f>IF(AND('General Information'!$H$107=TRUE, 'General Information'!D128&lt;&gt;"", 'General Information'!E128&lt;&gt;"", 'General Information'!F128&lt;&gt;"", 'General Information'!G128&lt;&gt;""), _xlfn.WEBSERVICE("https://nominatim.openstreetmap.org/search?q=" &amp; 'General Information'!K128 &amp; "&amp;format=json&amp;polygon=1&amp;addressdetails=1"), "")</f>
        <v/>
      </c>
      <c r="E22" s="368" t="e">
        <f t="shared" si="0"/>
        <v>#VALUE!</v>
      </c>
      <c r="F22" s="368" t="e">
        <f t="shared" si="1"/>
        <v>#VALUE!</v>
      </c>
      <c r="G22" t="e">
        <f t="shared" si="2"/>
        <v>#VALUE!</v>
      </c>
    </row>
    <row r="23" spans="4:7">
      <c r="D23" s="367" t="str">
        <f>IF(AND('General Information'!$H$107=TRUE, 'General Information'!D129&lt;&gt;"", 'General Information'!E129&lt;&gt;"", 'General Information'!F129&lt;&gt;"", 'General Information'!G129&lt;&gt;""), _xlfn.WEBSERVICE("https://nominatim.openstreetmap.org/search?q=" &amp; 'General Information'!K129 &amp; "&amp;format=json&amp;polygon=1&amp;addressdetails=1"), "")</f>
        <v/>
      </c>
      <c r="E23" s="368" t="e">
        <f t="shared" si="0"/>
        <v>#VALUE!</v>
      </c>
      <c r="F23" s="368" t="e">
        <f t="shared" si="1"/>
        <v>#VALUE!</v>
      </c>
      <c r="G23" t="e">
        <f t="shared" si="2"/>
        <v>#VALUE!</v>
      </c>
    </row>
    <row r="24" spans="4:7">
      <c r="D24" s="367" t="str">
        <f>IF(AND('General Information'!$H$107=TRUE, 'General Information'!D130&lt;&gt;"", 'General Information'!E130&lt;&gt;"", 'General Information'!F130&lt;&gt;"", 'General Information'!G130&lt;&gt;""), _xlfn.WEBSERVICE("https://nominatim.openstreetmap.org/search?q=" &amp; 'General Information'!K130 &amp; "&amp;format=json&amp;polygon=1&amp;addressdetails=1"), "")</f>
        <v/>
      </c>
      <c r="E24" s="368" t="e">
        <f t="shared" si="0"/>
        <v>#VALUE!</v>
      </c>
      <c r="F24" s="368" t="e">
        <f t="shared" si="1"/>
        <v>#VALUE!</v>
      </c>
      <c r="G24" t="e">
        <f t="shared" si="2"/>
        <v>#VALUE!</v>
      </c>
    </row>
    <row r="25" spans="4:7">
      <c r="D25" s="367" t="str">
        <f>IF(AND('General Information'!$H$107=TRUE, 'General Information'!D131&lt;&gt;"", 'General Information'!E131&lt;&gt;"", 'General Information'!F131&lt;&gt;"", 'General Information'!G131&lt;&gt;""), _xlfn.WEBSERVICE("https://nominatim.openstreetmap.org/search?q=" &amp; 'General Information'!K131 &amp; "&amp;format=json&amp;polygon=1&amp;addressdetails=1"), "")</f>
        <v/>
      </c>
      <c r="E25" s="368" t="e">
        <f t="shared" si="0"/>
        <v>#VALUE!</v>
      </c>
      <c r="F25" s="368" t="e">
        <f t="shared" si="1"/>
        <v>#VALUE!</v>
      </c>
      <c r="G25" t="e">
        <f t="shared" si="2"/>
        <v>#VALUE!</v>
      </c>
    </row>
    <row r="26" spans="4:7">
      <c r="D26" s="367" t="str">
        <f>IF(AND('General Information'!$H$107=TRUE, 'General Information'!D132&lt;&gt;"", 'General Information'!E132&lt;&gt;"", 'General Information'!F132&lt;&gt;"", 'General Information'!G132&lt;&gt;""), _xlfn.WEBSERVICE("https://nominatim.openstreetmap.org/search?q=" &amp; 'General Information'!K132 &amp; "&amp;format=json&amp;polygon=1&amp;addressdetails=1"), "")</f>
        <v/>
      </c>
      <c r="E26" s="368" t="e">
        <f t="shared" si="0"/>
        <v>#VALUE!</v>
      </c>
      <c r="F26" s="368" t="e">
        <f t="shared" si="1"/>
        <v>#VALUE!</v>
      </c>
      <c r="G26" t="e">
        <f t="shared" si="2"/>
        <v>#VALUE!</v>
      </c>
    </row>
  </sheetData>
  <sheetProtection algorithmName="SHA-512" hashValue="ZoDQM9cz0edaM29SixN0QDpta4KvTf2o5UYPK3NQ3R3VBkg+h3iPdwxDStItis/WEaJPPN8XepgXkaO+DlBgmA==" saltValue="JYtWngQ458IybIRJP910C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68"/>
  <sheetViews>
    <sheetView topLeftCell="A38" zoomScaleNormal="100" workbookViewId="0">
      <selection activeCell="E71" sqref="E71"/>
    </sheetView>
  </sheetViews>
  <sheetFormatPr baseColWidth="10" defaultColWidth="8.875" defaultRowHeight="14.25"/>
  <cols>
    <col min="1" max="1" width="3.75" style="10" customWidth="1"/>
    <col min="2" max="2" width="98.125" style="10" customWidth="1"/>
    <col min="3" max="3" width="50.75" style="10" customWidth="1"/>
    <col min="4" max="16384" width="8.875" style="10"/>
  </cols>
  <sheetData>
    <row r="1" spans="2:3" ht="15" thickBot="1"/>
    <row r="2" spans="2:3" ht="18">
      <c r="B2" s="411"/>
      <c r="C2" s="412" t="s">
        <v>4454</v>
      </c>
    </row>
    <row r="3" spans="2:3" ht="26.25">
      <c r="B3" s="413" t="s">
        <v>4455</v>
      </c>
      <c r="C3" s="414" t="str" cm="1">
        <f t="array" ref="C3">IF(SUMPRODUCT(--((C5:C68&lt;&gt;"OK")*(C5:C68&lt;&gt;"-")*(C5:C68&lt;&gt;""))) &gt; 0, "INCOMPLETE", "COMPLETE")</f>
        <v>COMPLETE</v>
      </c>
    </row>
    <row r="4" spans="2:3" ht="18">
      <c r="B4" s="415" t="s">
        <v>4456</v>
      </c>
      <c r="C4" s="416" t="s">
        <v>4457</v>
      </c>
    </row>
    <row r="5" spans="2:3" ht="15">
      <c r="B5" s="417" t="s">
        <v>4458</v>
      </c>
      <c r="C5" s="418"/>
    </row>
    <row r="6" spans="2:3" ht="15">
      <c r="B6" s="419" t="s">
        <v>4487</v>
      </c>
      <c r="C6" s="420" t="str">
        <f>IF(
    AND(
        COUNTIF('General Information'!F3:F12, "MISSING VALUE") &gt; 0,
        COUNTIF('General Information'!F3:F12, "ERROR") = 0
    ),
    "MISSING VALUE",
    IF(
        AND(
            COUNTIF('General Information'!F3:F12, "ERROR") &gt; 0,
            COUNTIF('General Information'!F3:F12, "MISSING VALUE") = 0
        ),
        "VALUE INCONSISTENCY",
        IF(
            AND(
                COUNTIF('General Information'!F3:F12, "ERROR") &gt; 0,
                COUNTIF('General Information'!F3:F12, "MISSING VALUE") &gt; 0
            ),
            "ERROR + VALUE INCONSISTENCY",
            "OK"
        )
    )
)</f>
        <v>OK</v>
      </c>
    </row>
    <row r="7" spans="2:3" ht="15">
      <c r="B7" s="421" t="s">
        <v>4488</v>
      </c>
      <c r="C7" s="420" t="str">
        <f>IF(COUNTIF('General Information'!F18:F29, "MISSING VALUE") &gt; 0, "MISSING VALUE",
IF(COUNTIF('General Information'!F18:F29, "INVALID URL") &gt; 0, "INVALID URL",
IF(COUNTIF('General Information'!F18:F29, "OK") &gt; 0, "OK", "-")))</f>
        <v>-</v>
      </c>
    </row>
    <row r="8" spans="2:3" ht="15">
      <c r="B8" s="422" t="s">
        <v>3298</v>
      </c>
      <c r="C8" s="423"/>
    </row>
    <row r="9" spans="2:3" ht="15">
      <c r="B9" s="417" t="s">
        <v>4458</v>
      </c>
      <c r="C9" s="418"/>
    </row>
    <row r="10" spans="2:3" ht="15">
      <c r="B10" s="424" t="s">
        <v>4489</v>
      </c>
      <c r="C10" s="420" t="str">
        <f>IF(COUNTIF(C11:C14,"ERROR + MISSING VALUE + VALUE INCONSISTENCY")&gt;0,"ERROR + MISSING VALUE + VALUE INCONSISTENCY",
IF(COUNTIF(C11:C14,"ERROR + VALUE INCONSISTENCY")&gt;0,"ERROR + VALUE INCONSISTENCY",
IF(COUNTIF(C11:C14,"ERROR + MISSING VALUE")&gt;0,"ERROR + MISSING VALUE",
IF(COUNTIF(C11:C14,"ERROR")&gt;0,"ERROR",
IF(COUNTIF(C11:C14,"MISSING VALUE + VALUE INCONSISTENCY")&gt;0,"MISSING VALUE + VALUE INCONSISTENCY",
IF(COUNTIF(C11:C14,"VALUE INCONSISTENCY")&gt;0,"VALUE INCONSISTENCY",
IF(COUNTIF(C11:C14,"MISSING VALUE")&gt;0,"MISSING VALUE",IF(COUNTIF(C11:C14,"OK")=ROWS(C11:C14),"OK",
IF(COUNTIF(C11:C14,"-")=ROWS(C11:C14),"-",
"OK")))))))))</f>
        <v>OK</v>
      </c>
    </row>
    <row r="11" spans="2:3" ht="15">
      <c r="B11" s="425" t="s">
        <v>4490</v>
      </c>
      <c r="C11" s="420" t="str">
        <f>IF(
    AND(
        COUNTIF('General Information'!F32:F65, "MISSING VALUE") &gt; 0,
        COUNTIF('General Information'!F32:F65, "VALUE INCONSISTENCY") = 0
    ),
    "MISSING VALUE",
    IF(
        AND(
            COUNTIF('General Information'!F32:F65, "VALUE INCONSISTENCY") &gt; 0,
            COUNTIF('General Information'!F32:F65, "MISSING VALUE") = 0
        ),
        "VALUE INCONSISTENCY",
        IF(
            AND(
                COUNTIF('General Information'!F32:F65, "VALUE INCONSISTENCY") &gt; 0,
                COUNTIF('General Information'!F32:F65, "MISSING VALUE") &gt; 0
            ),
            "ERROR + VALUE INCONSISTENCY",
            "OK"
        )
    )
)</f>
        <v>OK</v>
      </c>
    </row>
    <row r="12" spans="2:3" ht="15">
      <c r="B12" s="425" t="s">
        <v>4491</v>
      </c>
      <c r="C12" s="420" t="str">
        <f>IF(COUNTIF('General Information'!F70:F94, "MISSING VALUE") &gt; 0, "MISSING VALUE", IF(COUNTIF('General Information'!F70:F94, "OK") &gt; 0, "OK", "-"))</f>
        <v>-</v>
      </c>
    </row>
    <row r="13" spans="2:3" ht="15">
      <c r="B13" s="425" t="s">
        <v>4492</v>
      </c>
      <c r="C13" s="420" t="str">
        <f>IF(COUNTIF('General Information'!I100, "MISSING VALUE") &gt; 0, "MISSING VALUE", IF(COUNTIF('General Information'!I100, "OK") &gt; 0, "OK", "-"))</f>
        <v>-</v>
      </c>
    </row>
    <row r="14" spans="2:3" ht="15">
      <c r="B14" s="425" t="s">
        <v>4493</v>
      </c>
      <c r="C14" s="420" t="str">
        <f>IF(COUNTIF('General Information'!I108:I132, "MISSING VALUE") &gt; 0, "MISSING VALUE", IF(COUNTIF('General Information'!I108:I132, "OK") &gt; 0, "OK", "-"))</f>
        <v>OK</v>
      </c>
    </row>
    <row r="15" spans="2:3" ht="15">
      <c r="B15" s="425" t="s">
        <v>4475</v>
      </c>
      <c r="C15" s="420" t="str">
        <f>IF(COUNTIF(C16:C17,"ERROR + MISSING VALUE + VALUE INCONSISTENCY")&gt;0,"ERROR + MISSING VALUE + VALUE INCONSISTENCY",
IF(COUNTIF(C16:C17,"ERROR + VALUE INCONSISTENCY")&gt;0,"ERROR + VALUE INCONSISTENCY",
IF(COUNTIF(C16:C17,"ERROR + MISSING VALUE")&gt;0,"ERROR + MISSING VALUE",
IF(COUNTIF(C16:C17,"ERROR")&gt;0,"ERROR",
IF(COUNTIF(C16:C17,"MISSING VALUE + VALUE INCONSISTENCY")&gt;0,"MISSING VALUE + VALUE INCONSISTENCY",
IF(COUNTIF(C16:C17,"VALUE INCONSISTENCY")&gt;0,"VALUE INCONSISTENCY",
IF(COUNTIF(C16:C17,"MISSING VALUE")&gt;0,"MISSING VALUE",IF(COUNTIF(C16:C17,"OK")=ROWS(C16:C17),"OK",
IF(COUNTIF(C16:C17,"-")=ROWS(C16:C17),"-",
"OK")))))))))</f>
        <v>OK</v>
      </c>
    </row>
    <row r="16" spans="2:3" ht="15">
      <c r="B16" s="425" t="s">
        <v>4545</v>
      </c>
      <c r="C16" s="420" t="str">
        <f>IF(COUNTIF('General Information'!P139, "MISSING VALUE") &gt; 0, "MISSING VALUE", IF(COUNTIF('General Information'!P139, "OK") &gt; 0, "OK", "-"))</f>
        <v>OK</v>
      </c>
    </row>
    <row r="17" spans="2:3" ht="15">
      <c r="B17" s="425" t="s">
        <v>4546</v>
      </c>
      <c r="C17" s="420" t="str" cm="1">
        <f t="array" ref="C17">IF(OR('General Information'!E143:E145="OK"),"OK","-")</f>
        <v>-</v>
      </c>
    </row>
    <row r="18" spans="2:3" ht="15">
      <c r="B18" s="426" t="s">
        <v>4459</v>
      </c>
      <c r="C18" s="418"/>
    </row>
    <row r="19" spans="2:3" ht="15">
      <c r="B19" s="427" t="s">
        <v>4497</v>
      </c>
      <c r="C19" s="420" t="str">
        <f>IF(COUNTIF(C20:C23,"ERROR + MISSING VALUE + VALUE INCONSISTENCY")&gt;0,"ERROR + MISSING VALUE + VALUE INCONSISTENCY",
IF(COUNTIF(C20:C23,"ERROR + VALUE INCONSISTENCY")&gt;0,"ERROR + VALUE INCONSISTENCY",
IF(COUNTIF(C20:C23,"ERROR + MISSING VALUE")&gt;0,"ERROR + MISSING VALUE",
IF(COUNTIF(C20:C23,"ERROR")&gt;0,"ERROR",
IF(COUNTIF(C20:C23,"MISSING VALUE + VALUE INCONSISTENCY")&gt;0,"MISSING VALUE + VALUE INCONSISTENCY",
IF(COUNTIF(C20:C23,"VALUE INCONSISTENCY")&gt;0,"VALUE INCONSISTENCY",
IF(COUNTIF(C20:C23,"MISSING VALUE")&gt;0,"MISSING VALUE",IF(COUNTIF(C20:C23,"OK")=ROWS(C20:C23),"OK",
IF(COUNTIF(C20:C23,"-")=ROWS(C20:C23),"-",
"OK")))))))))</f>
        <v>OK</v>
      </c>
    </row>
    <row r="20" spans="2:3" ht="15">
      <c r="B20" s="419" t="s">
        <v>4547</v>
      </c>
      <c r="C20" s="420" t="str">
        <f>IF(COUNTIF('Environmental Disclosures'!L5, "MISSING VALUE") &gt; 0, "MISSING VALUE", IF(COUNTIF('Environmental Disclosures'!L5, "OK") &gt; 0, "OK", "-"))</f>
        <v>OK</v>
      </c>
    </row>
    <row r="21" spans="2:3" ht="15">
      <c r="B21" s="419" t="s">
        <v>4548</v>
      </c>
      <c r="C21" s="428" t="str">
        <f>IF(
AND(
COUNTIF('Environmental Disclosures'!L12:L14,"MISSING VALUE")&gt;0,
COUNTIF('Environmental Disclosures'!L12:L14,"VALUE INCONSISTENCY")=0
),
"MISSING VALUE",
IF(
AND(
COUNTIF('Environmental Disclosures'!L12:L14,"VALUE INCONSISTENCY")&gt;0,
COUNTIF('Environmental Disclosures'!L12:L14,"MISSING VALUE")=0
),
"VALUE INCONSISTENCY",
IF(
AND(
COUNTIF('Environmental Disclosures'!L12:L14,"VALUE INCONSISTENCY")&gt;0,
COUNTIF('Environmental Disclosures'!L12:L14,"MISSING VALUE")&gt;0
),
"ERROR + VALUE INCONSISTENCY",IF(COUNTA('Environmental Disclosures'!L12:L14,"-"),"-",
"OK"
)
)
))</f>
        <v>-</v>
      </c>
    </row>
    <row r="22" spans="2:3" ht="15">
      <c r="B22" s="419" t="s">
        <v>4549</v>
      </c>
      <c r="C22" s="420" t="str">
        <f>IF(COUNTIF('Environmental Disclosures'!L21:L44, "MISSING VALUE") &gt; 0, "MISSING VALUE", IF(COUNTIF('Environmental Disclosures'!L21:L44, "OK") &gt; 0, "OK", "-"))</f>
        <v>OK</v>
      </c>
    </row>
    <row r="23" spans="2:3" ht="15">
      <c r="B23" s="419" t="s">
        <v>4550</v>
      </c>
      <c r="C23" s="428" t="str">
        <f>IF(C22="OK", "OK", "-")</f>
        <v>OK</v>
      </c>
    </row>
    <row r="24" spans="2:3" ht="15">
      <c r="B24" s="419" t="s">
        <v>4498</v>
      </c>
      <c r="C24" s="420" t="str">
        <f>IF(COUNTIF('Environmental Disclosures'!L75:L119, "INVALID URL") &gt; 0,
   "INVALID URL",
IF(AND(COUNTIF('Environmental Disclosures'!L75:L119, "MISSING VALUE") &gt; 0,
       COUNTIF('Environmental Disclosures'!L75:L119, "VALUE INCONSISTENCY") &gt; 0),
   "MISSING VALUE + VALUE INCONSISTENCY",
IF(COUNTIF('Environmental Disclosures'!L75:L119, "MISSING VALUE") &gt; 0,
   "MISSING VALUE",
IF(COUNTIF('Environmental Disclosures'!L75:L119, "VALUE INCONSISTENCY") &gt; 0,
   "VALUE INCONSISTENCY",
IF(COUNTIF('Environmental Disclosures'!L75:L119, "OK") &gt; 0,
   "OK",
"-")))))</f>
        <v>OK</v>
      </c>
    </row>
    <row r="25" spans="2:3" ht="15">
      <c r="B25" s="419" t="s">
        <v>4462</v>
      </c>
      <c r="C25" s="420" t="str">
        <f>IF(COUNTIF(C26:C27,"ERROR + MISSING VALUE + VALUE INCONSISTENCY")&gt;0,"ERROR + MISSING VALUE + VALUE INCONSISTENCY",
IF(COUNTIF(C26:C27,"ERROR + VALUE INCONSISTENCY")&gt;0,"ERROR + VALUE INCONSISTENCY",
IF(COUNTIF(C26:C27,"ERROR + MISSING VALUE")&gt;0,"ERROR + MISSING VALUE",
IF(COUNTIF(C26:C27,"ERROR")&gt;0,"ERROR",
IF(COUNTIF(C26:C27,"MISSING VALUE + VALUE INCONSISTENCY")&gt;0,"MISSING VALUE + VALUE INCONSISTENCY",
IF(COUNTIF(C26:C27,"VALUE INCONSISTENCY")&gt;0,"VALUE INCONSISTENCY",
IF(COUNTIF(C26:C27,"MISSING VALUE")&gt;0,"MISSING VALUE",IF(COUNTIF(C26:C27,"OK")=ROWS(C26:C27),"OK",
IF(COUNTIF(C26:C27,"-")=ROWS(C26:C27),"-",
"OK")))))))))</f>
        <v>-</v>
      </c>
    </row>
    <row r="26" spans="2:3" ht="15">
      <c r="B26" s="419" t="s">
        <v>4551</v>
      </c>
      <c r="C26" s="420" t="str">
        <f>IF(AND(
        COUNTIF('Environmental Disclosures'!D128:D153, "OK") + COUNTIF('Environmental Disclosures'!L126:L153, "OK") &gt; 0,
        COUNTIF('Environmental Disclosures'!D128:D153, "MISSING VALUE") + COUNTIF('Environmental Disclosures'!L126:L153, "MISSING VALUE") = 0,
        COUNTIF('Environmental Disclosures'!D128:D153, "VALUE INCONSISTENCY") + COUNTIF('Environmental Disclosures'!L126:L153, "VALUE INCONSISTENCY") = 0),
    "OK",
    IF(AND(
           COUNTIF('Environmental Disclosures'!D128:D153, "MISSING VALUE") + COUNTIF('Environmental Disclosures'!L126:L153, "MISSING VALUE") &gt; 0,
           COUNTIF('Environmental Disclosures'!D128:D153, "VALUE INCONSISTENCY") + COUNTIF('Environmental Disclosures'!L126:L153, "VALUE INCONSISTENCY") = 0),
        "MISSING VALUE",
        IF(AND(
               COUNTIF('Environmental Disclosures'!D128:D153, "VALUE INCONSISTENCY") + COUNTIF('Environmental Disclosures'!L126:L153, "VALUE INCONSISTENCY") &gt; 0,
               COUNTIF('Environmental Disclosures'!D128:D153, "MISSING VALUE") + COUNTIF('Environmental Disclosures'!L126:L153, "MISSING VALUE") = 0),
            "VALUE INCONSISTENCY",
            IF(AND(
                   COUNTIF('Environmental Disclosures'!D128:D153, "VALUE INCONSISTENCY") + COUNTIF('Environmental Disclosures'!L126:L153, "VALUE INCONSISTENCY") &gt; 0,
                   COUNTIF('Environmental Disclosures'!D128:D153, "MISSING VALUE") + COUNTIF('Environmental Disclosures'!L126:L153, "MISSING VALUE") &gt; 0),
                "MISSING VALUE + VALUE INCONSISTENCY",
                "-"
            )
        )
    )
)</f>
        <v>-</v>
      </c>
    </row>
    <row r="27" spans="2:3" ht="15">
      <c r="B27" s="419" t="s">
        <v>4552</v>
      </c>
      <c r="C27" s="420" t="str">
        <f>IF(
AND(
COUNTIF('Environmental Disclosures'!G159:G164,"MISSING VALUE")&gt;0,
COUNTIF('Environmental Disclosures'!G159:G164,"VALUE INCONSISTENCY")=0,
COUNTIF('Environmental Disclosures'!G159:G164,"OK")&gt;=0
),
"MISSING VALUE",
IF(
AND(
COUNTIF('Environmental Disclosures'!G159:G164,"VALUE INCONSISTENCY")&gt;0,
COUNTIF('Environmental Disclosures'!G159:G164,"MISSING VALUE")=0,
COUNTIF('Environmental Disclosures'!G159:G164,"OK")&gt;=0
),
"VALUE INCONSISTENCY",
IF(
AND(
COUNTIF('Environmental Disclosures'!G159:G164,"VALUE INCONSISTENCY")&gt;0,
COUNTIF('Environmental Disclosures'!G159:G164,"MISSING VALUE")&gt;0,
COUNTIF('Environmental Disclosures'!G159:G164,"OK")&gt;=0
),
"MISSING VALUE + VALUE INCONSISTENCY",
IF(
AND(
COUNTIF('Environmental Disclosures'!G159:G164,"VALUE INCONSISTENCY")=0,
COUNTIF('Environmental Disclosures'!G159:G164,"MISSING VALUE")=0,
COUNTIF('Environmental Disclosures'!G159:G164,"OK")&gt;0
),
"OK",
"-"
)
)
))</f>
        <v>-</v>
      </c>
    </row>
    <row r="28" spans="2:3" ht="15">
      <c r="B28" s="419" t="s">
        <v>4499</v>
      </c>
      <c r="C28" s="420" t="str">
        <f>IF(COUNTIF(C29:C30,"ERROR + MISSING VALUE + VALUE INCONSISTENCY")&gt;0,"ERROR + MISSING VALUE + VALUE INCONSISTENCY",
IF(COUNTIF(C29:C30,"ERROR + VALUE INCONSISTENCY")&gt;0,"ERROR + VALUE INCONSISTENCY",
IF(COUNTIF(C29:C30,"ERROR + MISSING VALUE")&gt;0,"ERROR + MISSING VALUE",
IF(COUNTIF(C29:C30,"ERROR")&gt;0,"ERROR",
IF(COUNTIF(C29:C30,"MISSING VALUE + VALUE INCONSISTENCY")&gt;0,"MISSING VALUE + VALUE INCONSISTENCY",
IF(COUNTIF(C29:C30,"VALUE INCONSISTENCY")&gt;0,"VALUE INCONSISTENCY",
IF(COUNTIF(C29:C30,"MISSING VALUE")&gt;0,"MISSING VALUE",IF(COUNTIF(C29:C30,"OK")=ROWS(C29:C30),"OK",
IF(COUNTIF(C29:C30,"-")=ROWS(C29:C30),"-",
"OK")))))))))</f>
        <v>OK</v>
      </c>
    </row>
    <row r="29" spans="2:3" ht="15">
      <c r="B29" s="419" t="s">
        <v>4553</v>
      </c>
      <c r="C29" s="420" t="str">
        <f>IF(COUNTIF('Environmental Disclosures'!E169:F170, "MISSING VALUE") &gt; 0, "MISSING VALUE", IF(COUNTIF('Environmental Disclosures'!E169:F170, "OK") &gt; 0, "OK", "-"))</f>
        <v>OK</v>
      </c>
    </row>
    <row r="30" spans="2:3" ht="15">
      <c r="B30" s="419" t="s">
        <v>4554</v>
      </c>
      <c r="C30" s="420" t="str">
        <f>IF(COUNTIF('Environmental Disclosures'!E176:F176, "MISSING VALUE") &gt; 0, "MISSING VALUE", IF(COUNTIF('Environmental Disclosures'!E176:F176, "OK") &gt; 0, "OK", "-"))</f>
        <v>-</v>
      </c>
    </row>
    <row r="31" spans="2:3" ht="15">
      <c r="B31" s="419" t="s">
        <v>4500</v>
      </c>
      <c r="C31" s="420" t="str">
        <f>IF(COUNTIF(C32:C34,"ERROR + MISSING VALUE + VALUE INCONSISTENCY")&gt;0,"ERROR + MISSING VALUE + VALUE INCONSISTENCY",
IF(COUNTIF(C32:C34,"ERROR + VALUE INCONSISTENCY")&gt;0,"ERROR + VALUE INCONSISTENCY",
IF(COUNTIF(C32:C34,"ERROR + MISSING VALUE")&gt;0,"ERROR + MISSING VALUE",
IF(COUNTIF(C32:C34,"ERROR")&gt;0,"ERROR",
IF(COUNTIF(C32:C34,"MISSING VALUE + VALUE INCONSISTENCY")&gt;0,"MISSING VALUE + VALUE INCONSISTENCY",
IF(COUNTIF(C32:C34,"VALUE INCONSISTENCY")&gt;0,"VALUE INCONSISTENCY",
IF(COUNTIF(C32:C34,"MISSING VALUE")&gt;0,"MISSING VALUE",IF(COUNTIF(C32:C34,"OK")=ROWS(C32:C34),"OK",
IF(COUNTIF(C32:C34,"-")=ROWS(C32:C34),"-",
"OK")))))))))</f>
        <v>OK</v>
      </c>
    </row>
    <row r="32" spans="2:3" ht="15">
      <c r="B32" s="419" t="s">
        <v>4501</v>
      </c>
      <c r="C32" s="420" t="str">
        <f>IF(
AND(
COUNTIF('Environmental Disclosures'!H182:I183,"MISSING VALUE")&gt;0,
COUNTIF('Environmental Disclosures'!H182:I183,"VALUE INCONSISTENCY")=0,
COUNTIF('Environmental Disclosures'!H182:I183,"OK")&gt;=0
),
"MISSING VALUE",
IF(
AND(
COUNTIF('Environmental Disclosures'!H182:I183,"VALUE INCONSISTENCY")&gt;0,
COUNTIF('Environmental Disclosures'!H182:I183,"MISSING VALUE")=0,
COUNTIF('Environmental Disclosures'!H182:I183,"OK")&gt;=0
),
"VALUE INCONSISTENCY",
IF(
AND(
COUNTIF('Environmental Disclosures'!H182:I183,"VALUE INCONSISTENCY")&gt;0,
COUNTIF('Environmental Disclosures'!H182:I183,"MISSING VALUE")&gt;0,
COUNTIF('Environmental Disclosures'!H182:I183,"OK")&gt;=0
),
"MISSING VALUE + VALUE INCONSISTENCY",
IF(
AND(
COUNTIF('Environmental Disclosures'!H182:I183,"VALUE INCONSISTENCY")=0,
COUNTIF('Environmental Disclosures'!H182:I183,"MISSING VALUE")=0,
COUNTIF('Environmental Disclosures'!H182:I183,"OK")&gt;0
),
"OK",
"-"
)
)
))</f>
        <v>OK</v>
      </c>
    </row>
    <row r="33" spans="2:3" ht="15">
      <c r="B33" s="419" t="s">
        <v>4502</v>
      </c>
      <c r="C33" s="420" t="str">
        <f>IF(
    AND(
        COUNTIF('Environmental Disclosures'!M189:M204,"ERROR")&gt;0,
        COUNTIF('Environmental Disclosures'!M189:M204,"MISSING VALUE")&gt;0,
        COUNTIF('Environmental Disclosures'!M189:M204,"VALUE INCONSISTENCY")&gt;0
    ),
    "ERROR + MISSING VALUE + VALUE INCONSISTENCY",
IF(
    AND(
        COUNTIF('Environmental Disclosures'!M189:M204,"ERROR")&gt;0,
        COUNTIF('Environmental Disclosures'!M189:M204,"VALUE INCONSISTENCY")&gt;0,
        COUNTIF('Environmental Disclosures'!M189:M204,"MISSING VALUE")=0
    ),
    "ERROR + VALUE INCONSISTENCY",
IF(
    AND(
        COUNTIF('Environmental Disclosures'!M189:M204,"ERROR")&gt;0,
        COUNTIF('Environmental Disclosures'!M189:M204,"MISSING VALUE")&gt;0,
        COUNTIF('Environmental Disclosures'!M189:M204,"VALUE INCONSISTENCY")=0
    ),
    "ERROR + MISSING VALUE",
IF(
    AND(
        COUNTIF('Environmental Disclosures'!M189:M204,"MISSING VALUE")&gt;0,
        COUNTIF('Environmental Disclosures'!M189:M204,"VALUE INCONSISTENCY")&gt;0,
        COUNTIF('Environmental Disclosures'!M189:M204,"ERROR")=0
    ),
    "MISSING VALUE + VALUE INCONSISTENCY",
IF(
    AND(
        COUNTIF('Environmental Disclosures'!M189:M204,"ERROR")&gt;0,
        COUNTIF('Environmental Disclosures'!M189:M204,"MISSING VALUE")=0,
        COUNTIF('Environmental Disclosures'!M189:M204,"VALUE INCONSISTENCY")=0
    ),
    "ERROR",
IF(
    AND(
        COUNTIF('Environmental Disclosures'!M189:M204,"MISSING VALUE")&gt;0,
        COUNTIF('Environmental Disclosures'!M189:M204,"ERROR")=0,
        COUNTIF('Environmental Disclosures'!M189:M204,"VALUE INCONSISTENCY")=0
    ),
    "MISSING VALUE",
IF(
    AND(
        COUNTIF('Environmental Disclosures'!M189:M204,"VALUE INCONSISTENCY")&gt;0,
        COUNTIF('Environmental Disclosures'!M189:M204,"ERROR")=0,
        COUNTIF('Environmental Disclosures'!M189:M204,"MISSING VALUE")=0
    ),
    "VALUE INCONSISTENCY",
IF(
    AND(
        COUNTIF('Environmental Disclosures'!M189:M204,"ERROR")=0,
        COUNTIF('Environmental Disclosures'!M189:M204,"MISSING VALUE")=0,
        COUNTIF('Environmental Disclosures'!M189:M204,"VALUE INCONSISTENCY")=0,
        COUNTIF('Environmental Disclosures'!M189:M204,"OK")&gt;0
    ),
    "OK",
"-"
))))))))</f>
        <v>OK</v>
      </c>
    </row>
    <row r="34" spans="2:3" ht="15">
      <c r="B34" s="419" t="s">
        <v>4503</v>
      </c>
      <c r="C34" s="420" t="str">
        <f>IF(COUNTIF('Environmental Disclosures'!K216:K230, "MISSING VALUE") &gt; 0, "MISSING VALUE", IF(COUNTIF('Environmental Disclosures'!K216:K230, "OK") &gt; 0, "OK", "-"))</f>
        <v>-</v>
      </c>
    </row>
    <row r="35" spans="2:3" ht="15">
      <c r="B35" s="426" t="s">
        <v>4460</v>
      </c>
      <c r="C35" s="418"/>
    </row>
    <row r="36" spans="2:3" ht="15">
      <c r="B36" s="427" t="s">
        <v>4510</v>
      </c>
      <c r="C36" s="420" t="str">
        <f>IF(COUNTIF(C37:C40,"ERROR + MISSING VALUE + VALUE INCONSISTENCY")&gt;0,"ERROR + MISSING VALUE + VALUE INCONSISTENCY",
IF(COUNTIF(C37:C40,"ERROR + VALUE INCONSISTENCY")&gt;0,"ERROR + VALUE INCONSISTENCY",
IF(COUNTIF(C37:C40,"ERROR + MISSING VALUE")&gt;0,"ERROR + MISSING VALUE",
IF(COUNTIF(C37:C40,"ERROR")&gt;0,"ERROR",
IF(COUNTIF(C37:C40,"MISSING VALUE + VALUE INCONSISTENCY")&gt;0,"MISSING VALUE + VALUE INCONSISTENCY",
IF(COUNTIF(C37:C40,"VALUE INCONSISTENCY")&gt;0,"VALUE INCONSISTENCY",
IF(COUNTIF(C37:C40,"MISSING VALUE")&gt;0,"MISSING VALUE",IF(COUNTIF(C37:C40,"OK")=ROWS(C37:C40),"OK",
IF(COUNTIF(C37:C40,"-")=ROWS(C37:C40),"-",
"OK")))))))))</f>
        <v>OK</v>
      </c>
    </row>
    <row r="37" spans="2:3" ht="15">
      <c r="B37" s="419" t="s">
        <v>4511</v>
      </c>
      <c r="C37" s="420" t="str">
        <f>IF(COUNTIF('Social Disclosures'!H10, "MISSING VALUE") &gt; 0, "MISSING VALUE", IF(COUNTIF('Social Disclosures'!H10, "OK") &gt; 0, "OK", "-"))</f>
        <v>OK</v>
      </c>
    </row>
    <row r="38" spans="2:3" ht="15">
      <c r="B38" s="419" t="s">
        <v>4512</v>
      </c>
      <c r="C38" s="420" t="str">
        <f>IF(COUNTIF('Social Disclosures'!H18:H21, "MISSING VALUE") &gt; 0, "MISSING VALUE", IF(COUNTIF('Social Disclosures'!H18:H21, "OK") &gt; 0, "OK", "-"))</f>
        <v>OK</v>
      </c>
    </row>
    <row r="39" spans="2:3" ht="15">
      <c r="B39" s="419" t="s">
        <v>4514</v>
      </c>
      <c r="C39" s="420" t="str">
        <f>IF(COUNTIF('Social Disclosures'!I28:I37, "MISSING VALUE") &gt; 0, "MISSING VALUE", IF(COUNTIF('Social Disclosures'!I28:I37, "OK") &gt; 0, "OK", "-"))</f>
        <v>OK</v>
      </c>
    </row>
    <row r="40" spans="2:3" ht="15">
      <c r="B40" s="419" t="s">
        <v>4515</v>
      </c>
      <c r="C40" s="420" t="str">
        <f>IF(COUNTIF('Social Disclosures'!I43:I45, "MISSING VALUE") &gt; 0, "MISSING VALUE", IF(COUNTIF('Social Disclosures'!I43:I45, "OK") &gt; 0, "OK", "-"))</f>
        <v>OK</v>
      </c>
    </row>
    <row r="41" spans="2:3" ht="15">
      <c r="B41" s="419" t="s">
        <v>4513</v>
      </c>
      <c r="C41" s="420" t="str">
        <f>IF(COUNTIF('Social Disclosures'!I49:I53, "MISSING VALUE") &gt; 0, "MISSING VALUE", IF(COUNTIF('Social Disclosures'!I49:I53, "OK") &gt; 0, "OK", "-"))</f>
        <v>OK</v>
      </c>
    </row>
    <row r="42" spans="2:3" ht="15">
      <c r="B42" s="421" t="s">
        <v>4516</v>
      </c>
      <c r="C42" s="420" t="str">
        <f>IF(COUNTIF('Social Disclosures'!I66:I69, "MISSING VALUE") &gt; 0, "MISSING VALUE", IF(COUNTIF('Social Disclosures'!I66:I69, "OK") &gt; 0, "OK", "-"))</f>
        <v>OK</v>
      </c>
    </row>
    <row r="43" spans="2:3" ht="15">
      <c r="B43" s="426" t="s">
        <v>4461</v>
      </c>
      <c r="C43" s="418"/>
    </row>
    <row r="44" spans="2:3" ht="15">
      <c r="B44" s="421" t="s">
        <v>4521</v>
      </c>
      <c r="C44" s="420" t="str">
        <f>IF(COUNTIF('Governance Disclosures'!I6:I7, "MISSING VALUE") &gt; 0, "MISSING VALUE", IF(COUNTIF('Governance Disclosures'!I6:I7, "OK") &gt; 0, "OK", "-"))</f>
        <v>-</v>
      </c>
    </row>
    <row r="45" spans="2:3" ht="15">
      <c r="B45" s="422" t="s">
        <v>3299</v>
      </c>
      <c r="C45" s="423"/>
    </row>
    <row r="46" spans="2:3" ht="15">
      <c r="B46" s="417" t="s">
        <v>4458</v>
      </c>
      <c r="C46" s="418"/>
    </row>
    <row r="47" spans="2:3" ht="15">
      <c r="B47" s="425" t="s">
        <v>4494</v>
      </c>
      <c r="C47" s="420" t="str">
        <f>IF(COUNTIF('General Information'!H154:H160, "MISSING VALUE") &gt; 0, "MISSING VALUE", IF(COUNTIF('General Information'!H154:H160, "OK") &gt; 0, "OK", "-"))</f>
        <v>-</v>
      </c>
    </row>
    <row r="48" spans="2:3" ht="15">
      <c r="B48" s="425" t="s">
        <v>4495</v>
      </c>
      <c r="C48" s="420" t="str">
        <f>IF(COUNTIF('General Information'!H148:H150, "MISSING VALUE") &gt; 0, "MISSING VALUE", IF(COUNTIF('General Information'!H148:H150, "OK") &gt; 0, "OK", "-"))</f>
        <v>-</v>
      </c>
    </row>
    <row r="49" spans="2:3" ht="15">
      <c r="B49" s="426" t="s">
        <v>4459</v>
      </c>
      <c r="C49" s="418"/>
    </row>
    <row r="50" spans="2:3" ht="15">
      <c r="B50" s="427" t="s">
        <v>4504</v>
      </c>
      <c r="C50" s="420" t="str">
        <f>IF(COUNTIF(C51:C53, "ERROR + MISSING VALUE + VALUE INCONSISTENCY") &gt; 0, "ERROR + MISSING VALUE + VALUE INCONSISTENCY",
IF(COUNTIF(C51:C53, "ERROR + VALUE INCONSISTENCY") &gt; 0, "ERROR + VALUE INCONSISTENCY",
IF(COUNTIF(C51:C53, "ERROR + MISSING VALUE") &gt; 0, "ERROR + MISSING VALUE",
IF(COUNTIF(C51:C53, "ERROR") &gt; 0, "ERROR",
IF(COUNTIF(C51:C53, "MISSING VALUE + VALUE INCONSISTENCY") &gt; 0, "MISSING VALUE + VALUE INCONSISTENCY",
IF(COUNTIF(C51:C53, "VALUE INCONSISTENCY") &gt; 0, "VALUE INCONSISTENCY",
IF(COUNTIF(C51:C53, "MISSING VALUE") &gt; 0, "MISSING VALUE",
IF(AND(
       COUNTIFS(C51:C53, "&lt;&gt;OK", C51:C53, "&lt;&gt;-") = 0,
       COUNTIF(C51:C53, "OK") &gt; 0
   ), "OK",
IF(COUNTIF(C51:C53, "-") = ROWS(C51:C53), "-",
"")))))))))</f>
        <v>-</v>
      </c>
    </row>
    <row r="51" spans="2:3" ht="15">
      <c r="B51" s="419" t="s">
        <v>4505</v>
      </c>
      <c r="C51" s="420" t="str">
        <f>IF(AND('General Information'!E32="Option A (Basic Module only)",
        COUNTA('Environmental Disclosures'!G21:G24)=0),
   "-",
IF(COUNTIF('Environmental Disclosures'!L52, "MISSING VALUE") &gt; 0,
   "MISSING VALUE",
IF(COUNTIF('Environmental Disclosures'!L52, "OK") &gt; 0,
   "OK",
"-")))</f>
        <v>-</v>
      </c>
    </row>
    <row r="52" spans="2:3" ht="15">
      <c r="B52" s="419" t="s">
        <v>4506</v>
      </c>
      <c r="C52" s="420" t="str">
        <f>IF(COUNTIF('Environmental Disclosures'!L52, "MISSING VALUE") &gt; 0, "MISSING VALUE", IF(COUNTIF('Environmental Disclosures'!L52, "OK") &gt; 0, "OK", "-"))</f>
        <v>-</v>
      </c>
    </row>
    <row r="53" spans="2:3" ht="15">
      <c r="B53" s="419" t="s">
        <v>4507</v>
      </c>
      <c r="C53" s="420" t="str">
        <f>IF(
AND(
COUNTIF('Environmental Disclosures'!L57:L59,"MISSING VALUE")&gt;0,
COUNTIF('Environmental Disclosures'!L57:L59,"ERROR")=0,
COUNTIF('Environmental Disclosures'!L57:L59,"OK")&gt;=0
),
"MISSING VALUE",
IF(
AND(
COUNTIF('Environmental Disclosures'!L57:L59,"ERROR")&gt;0,
COUNTIF('Environmental Disclosures'!L57:L59,"MISSING VALUE")=0,
COUNTIF('Environmental Disclosures'!L57:L59,"OK")&gt;=0
),
"ERROR",
IF(
AND(
COUNTIF('Environmental Disclosures'!L57:L59,"ERROR")&gt;0,
COUNTIF('Environmental Disclosures'!L57:L59,"MISSING VALUE")&gt;0,
COUNTIF('Environmental Disclosures'!L57:L59,"OK")&gt;=0
),
"ERROR + MISSING VALUE",
IF(
AND(
COUNTIF('Environmental Disclosures'!L57:L59,"ERROR")=0,
COUNTIF('Environmental Disclosures'!L57:L59,"MISSING VALUE")=0,
COUNTIF('Environmental Disclosures'!L57:L59,"OK")&gt;0
),
"OK",
"-"
)
)
))</f>
        <v>-</v>
      </c>
    </row>
    <row r="54" spans="2:3" ht="15">
      <c r="B54" s="419" t="s">
        <v>4508</v>
      </c>
      <c r="C54" s="420" t="str">
        <f>IF(COUNTIF('Environmental Disclosures'!L236:L240, "MISSING VALUE") &gt; 0, "MISSING VALUE", IF(COUNTIF('Environmental Disclosures'!L236:L240, "OK") &gt; 0, "OK", "-"))</f>
        <v>-</v>
      </c>
    </row>
    <row r="55" spans="2:3" ht="15">
      <c r="B55" s="426" t="s">
        <v>4460</v>
      </c>
      <c r="C55" s="418"/>
    </row>
    <row r="56" spans="2:3" ht="15">
      <c r="B56" s="419" t="s">
        <v>4517</v>
      </c>
      <c r="C56" s="420" t="str">
        <f>IF(COUNTIF('Social Disclosures'!I74:I78,"OK")&gt;0,"OK","-")</f>
        <v>-</v>
      </c>
    </row>
    <row r="57" spans="2:3" ht="15">
      <c r="B57" s="419" t="s">
        <v>4518</v>
      </c>
      <c r="C57" s="420" t="str">
        <f>IF(
AND(
COUNTIF('Social Disclosures'!I81:I90,"MISSING VALUE")&gt;0,
COUNTIF('Social Disclosures'!I81:I90,"VALUE INCONSISTENCY")=0,
COUNTIF('Social Disclosures'!I81:I90,"OK")&gt;=0
),
"MISSING VALUE",
IF(
AND(
COUNTIF('Social Disclosures'!I81:I90,"VALUE INCONSISTENCY")&gt;0,
COUNTIF('Social Disclosures'!I81:I90,"MISSING VALUE")=0,
COUNTIF('Social Disclosures'!I81:I90,"OK")&gt;=0
),
"VALUE INCONSISTENCY",
IF(
AND(
COUNTIF('Social Disclosures'!I81:I90,"VALUE INCONSISTENCY")&gt;0,
COUNTIF('Social Disclosures'!I81:I90,"MISSING VALUE")&gt;0,
COUNTIF('Social Disclosures'!I81:I90,"OK")&gt;=0
),
"MISSING VALUE + VALUE INCONSISTENCY",
IF(
AND(
COUNTIF('Social Disclosures'!I81:I90,"VALUE INCONSISTENCY")=0,
COUNTIF('Social Disclosures'!I81:I90,"MISSING VALUE")=0,
COUNTIF('Social Disclosures'!I81:I90,"OK")&gt;0
),
"OK",
"-"
)
)
))</f>
        <v>-</v>
      </c>
    </row>
    <row r="58" spans="2:3" ht="15">
      <c r="B58" s="421" t="s">
        <v>4519</v>
      </c>
      <c r="C58" s="429" t="str">
        <f>IF(
AND(
COUNTIF('Social Disclosures'!I93:I103,"MISSING VALUE")&gt;0,
COUNTIF('Social Disclosures'!I93:I103,"VALUE INCONSISTENCY")=0,
COUNTIF('Social Disclosures'!I93:I103,"OK")&gt;=0
),
"MISSING VALUE",
IF(
AND(
COUNTIF('Social Disclosures'!I93:I103,"VALUE INCONSISTENCY")&gt;0,
COUNTIF('Social Disclosures'!I93:I103,"MISSING VALUE")=0,
COUNTIF('Social Disclosures'!I93:I103,"OK")&gt;=0
),
"VALUE INCONSISTENCY",
IF(
AND(
COUNTIF('Social Disclosures'!I93:I103,"VALUE INCONSISTENCY")&gt;0,
COUNTIF('Social Disclosures'!I93:I103,"MISSING VALUE")&gt;0,
COUNTIF('Social Disclosures'!I93:I103,"OK")&gt;=0
),
"MISSING VALUE + VALUE INCONSISTENCY",
IF(
AND(
COUNTIF('Social Disclosures'!I93:I103,"VALUE INCONSISTENCY")=0,
COUNTIF('Social Disclosures'!I93:I103,"MISSING VALUE")=0,
COUNTIF('Social Disclosures'!I93:I103,"OK")&gt;0
),
"OK",
"-"
)
)
))</f>
        <v>-</v>
      </c>
    </row>
    <row r="59" spans="2:3" ht="15">
      <c r="B59" s="430" t="s">
        <v>4461</v>
      </c>
      <c r="C59" s="423"/>
    </row>
    <row r="60" spans="2:3" ht="15">
      <c r="B60" s="424" t="s">
        <v>4522</v>
      </c>
      <c r="C60" s="420" t="str">
        <f>IF(COUNTIF(C61:C62,"ERROR + MISSING VALUE + VALUE INCONSISTENCY")&gt;0,"ERROR + MISSING VALUE + VALUE INCONSISTENCY",
IF(COUNTIF(C61:C62,"ERROR + VALUE INCONSISTENCY")&gt;0,"ERROR + VALUE INCONSISTENCY",
IF(COUNTIF(C61:C62,"ERROR + MISSING VALUE")&gt;0,"ERROR + MISSING VALUE",
IF(COUNTIF(C61:C62,"ERROR")&gt;0,"ERROR",
IF(COUNTIF(C61:C62,"MISSING VALUE + VALUE INCONSISTENCY")&gt;0,"MISSING VALUE + VALUE INCONSISTENCY",
IF(COUNTIF(C61:C62,"VALUE INCONSISTENCY")&gt;0,"VALUE INCONSISTENCY",
IF(COUNTIF(C61:C62,"MISSING VALUE")&gt;0,"MISSING VALUE",IF(COUNTIF(C61:C62,"OK")=ROWS(C61:C62),"OK",
IF(COUNTIF(C61:C62,"-")=ROWS(C61:C62),"-",
"OK")))))))))</f>
        <v>-</v>
      </c>
    </row>
    <row r="61" spans="2:3" ht="15">
      <c r="B61" s="425" t="s">
        <v>4523</v>
      </c>
      <c r="C61" s="420" t="str">
        <f>IF(COUNTIF('Governance Disclosures'!I12:I18, "VALUE INCONSISTENCY") &gt; 0, "VALUE INCONSISTENCY", IF(COUNTIF('Governance Disclosures'!I12:I18, "OK") &gt; 0, "OK", "-"))</f>
        <v>-</v>
      </c>
    </row>
    <row r="62" spans="2:3" ht="15">
      <c r="B62" s="425" t="s">
        <v>4524</v>
      </c>
      <c r="C62" s="420" t="str">
        <f>IF(COUNTIF('Governance Disclosures'!I22:I26, "MISSING VALUE") &gt; 0, "MISSING VALUE", IF(COUNTIF('Governance Disclosures'!I22:I26, "OK") &gt; 0, "OK", "-"))</f>
        <v>-</v>
      </c>
    </row>
    <row r="63" spans="2:3" ht="15">
      <c r="B63" s="431" t="s">
        <v>4525</v>
      </c>
      <c r="C63" s="429" t="str">
        <f>IF(COUNTIF('Governance Disclosures'!I31:I32, "MISSING VALUE") &gt; 0, "MISSING VALUE", IF(COUNTIF('Governance Disclosures'!I31:I32, "OK") &gt; 0, "OK", "-"))</f>
        <v>-</v>
      </c>
    </row>
    <row r="64" spans="2:3" ht="15">
      <c r="B64" s="432" t="s">
        <v>4544</v>
      </c>
      <c r="C64" s="423"/>
    </row>
    <row r="65" spans="2:3" ht="15">
      <c r="B65" s="425" t="s">
        <v>4496</v>
      </c>
      <c r="C65" s="429" t="str">
        <f>IF('General Information'!I164="OK", "OK", "")</f>
        <v/>
      </c>
    </row>
    <row r="66" spans="2:3" ht="15">
      <c r="B66" s="421" t="s">
        <v>4509</v>
      </c>
      <c r="C66" s="429" t="str">
        <f>IF('Environmental Disclosures'!M244="OK", "OK", "")</f>
        <v/>
      </c>
    </row>
    <row r="67" spans="2:3" ht="15">
      <c r="B67" s="421" t="s">
        <v>4520</v>
      </c>
      <c r="C67" s="429" t="str">
        <f>IF('Social Disclosures'!I109="OK", "OK", "")</f>
        <v/>
      </c>
    </row>
    <row r="68" spans="2:3" ht="15.75" thickBot="1">
      <c r="B68" s="433" t="s">
        <v>4526</v>
      </c>
      <c r="C68" s="434" t="str">
        <f>IF('Governance Disclosures'!I38="OK", "OK", "")</f>
        <v/>
      </c>
    </row>
  </sheetData>
  <sheetProtection sheet="1" objects="1" scenarios="1" formatColumns="0" formatRows="0"/>
  <conditionalFormatting sqref="B3">
    <cfRule type="expression" dxfId="387" priority="371">
      <formula>B$44="INCOMPLETE"</formula>
    </cfRule>
    <cfRule type="expression" dxfId="386" priority="372">
      <formula>B$44="COMPLETE"</formula>
    </cfRule>
  </conditionalFormatting>
  <conditionalFormatting sqref="C2">
    <cfRule type="expression" dxfId="385" priority="12">
      <formula>C$58="INCOMPLETE"</formula>
    </cfRule>
    <cfRule type="expression" dxfId="384" priority="13">
      <formula>C$58="COMPLETE"</formula>
    </cfRule>
  </conditionalFormatting>
  <conditionalFormatting sqref="C3">
    <cfRule type="expression" dxfId="383" priority="10">
      <formula>$C$3="INCOMPLETE"</formula>
    </cfRule>
    <cfRule type="expression" dxfId="382" priority="11">
      <formula>$C$3="COMPLETE"</formula>
    </cfRule>
  </conditionalFormatting>
  <conditionalFormatting sqref="C6:C8 C10:C45 C47:C68">
    <cfRule type="expression" dxfId="381" priority="1">
      <formula>$C6="VALUE INCONSISTENCY"</formula>
    </cfRule>
    <cfRule type="expression" dxfId="380" priority="2">
      <formula>$C6="INVALID URL"</formula>
    </cfRule>
    <cfRule type="expression" dxfId="379" priority="3">
      <formula>$C6="ERROR + MISSING VALUE + VALUE INCONSISTENCY"</formula>
    </cfRule>
    <cfRule type="expression" dxfId="378" priority="4">
      <formula>$C6="ERROR + VALUE INCONSISTENCY"</formula>
    </cfRule>
    <cfRule type="expression" dxfId="377" priority="5">
      <formula>$C6="ERROR + MISSING VALUE"</formula>
    </cfRule>
    <cfRule type="expression" dxfId="376" priority="6">
      <formula>$C6="MISSING VALUE + VALUE INCONSISTENCY"</formula>
    </cfRule>
    <cfRule type="expression" dxfId="375" priority="7">
      <formula>$C6="MISSING VALUE"</formula>
    </cfRule>
    <cfRule type="expression" dxfId="374" priority="8">
      <formula>$C6="ERROR"</formula>
    </cfRule>
    <cfRule type="expression" dxfId="373" priority="9">
      <formula>$C6="OK"</formula>
    </cfRule>
  </conditionalFormatting>
  <hyperlinks>
    <hyperlink ref="B6" location="template_information_on_the_report_necessary_for_XBRL" display="· Information on the report necessary for  XBRL"/>
    <hyperlink ref="B5" location="'General Information'!A1" display="General Information"/>
    <hyperlink ref="B7" location="template_information_on_previous_reporting_period" display="· Information on previous reporting period"/>
    <hyperlink ref="B10" location="template_b1_basis_for_preparation_and_other_undertakings_general_information" display="· B1 - Basis for Preparation"/>
    <hyperlink ref="B11" location="template_b1_basis_for_preparation_and_other_undertakings_general_information" display="            Basis for Preparation and other undertaking's general information"/>
    <hyperlink ref="B12" location="template_b1_list_of_subsidiaries" display="             List of subsidiaries"/>
    <hyperlink ref="B13" location="template_b1_disclosure_of_sustainability_related_certifications_or_labels" display="             Disclosure of sustainability-related certification(s) or label(s)"/>
    <hyperlink ref="B14" location="template_b1_list_of_sites" display="             List of site(s)"/>
    <hyperlink ref="B15" location="template_b2_practices_policies_and_future_initiatives_for_transitioning_towards_a_more_sustainable_economy" display="· B2 - Practices, policies and future initiatives for transitioning towards a more sustainable economy"/>
    <hyperlink ref="B16" location="template_b2_practices_policies_and_future_initiatives_for_transitioning_towards_a_more_sustainable_economy" display="             Practices, policies and future initiatives for transitioning towards a more sustainable economy"/>
    <hyperlink ref="B17" location="template_b2_cooperative_specific_disclosures" display="             Cooperative specific disclosures"/>
    <hyperlink ref="B47" location="template_c1_strategy_business_model_and_sustainability" display="· C1 - Strategy: Business Model and Sustainability – Related Initiatives"/>
    <hyperlink ref="B48" location="template_c2_description_of_practices_policies_and_future_initiatives_for_transitioning_towards_a_more_sustainable_economy" display="· C2 - Description of practices, policies and future initiatives for transitioning towards a more sustainable economy"/>
    <hyperlink ref="B65" location="template_disclosure_of_any_other_general_and_or_entity_specific_information_on_the_reporting_period" display="· Disclosure of any other general and/or entity specific information on the reporting period"/>
    <hyperlink ref="B49" location="'Environmental Disclosures'!A1" display="Environmental Disclosures"/>
    <hyperlink ref="B19" location="template_b3_total_energy_consumption_in_MWh" display="· B3 - Energy and greenhouse gas emissions"/>
    <hyperlink ref="B20" location="template_b3_total_energy_consumption_in_MWh" display="              Total Energy Consumption (in MWh)"/>
    <hyperlink ref="B21" location="template_b3_breakdown_of_energy_consumption_in_MWh" display="              Breakdown of energy consumption (in MWh)"/>
    <hyperlink ref="B22" location="template_b3_estimated_greenhouse_gas_emissions_considering_the_GHG_protocol_version_2004_in_tCO2e" display="              Estimated Greenhouse Gas Emissions considering the GHG Protocol Version 2004 (in tCO2e)"/>
    <hyperlink ref="B23" location="template_b3_greenhouse_gas_emission_intensity_per_turnover" display="              Greenhouse gas emission intensity per turnover"/>
    <hyperlink ref="B24" location="template_b4_pollution_of_air_water_and_soil" display="· B4 - Pollution of air, water and soil"/>
    <hyperlink ref="B25" location="template_B5_sites_in_biodiversity_sensitive_areas" display="· B5 - Biodiversity"/>
    <hyperlink ref="B26" location="template_B5_sites_in_biodiversity_sensitive_areas" display="             Sites in biodiversity sensitive areas"/>
    <hyperlink ref="B27" location="template_b5_biodiversity_land_use" display="             Biodiversity - Land-use"/>
    <hyperlink ref="B28" location="template_b6_water_withdrawal" display="· B6 - Water"/>
    <hyperlink ref="B29" location="template_b6_water_withdrawal" display="              Water Withdrawal"/>
    <hyperlink ref="B30" location="template_b6_water_consumption" display="              Water Consumption"/>
    <hyperlink ref="B31" location="template_b7_description_of_circular_economy_principles" display="· B7 - Resource use, circular economy and waste management"/>
    <hyperlink ref="B32" location="template_b7_description_of_circular_economy_principles" display="               Description of circular economy principles"/>
    <hyperlink ref="B33" location="template_b7_waste_generated" display="               Waste generated"/>
    <hyperlink ref="B34" location="template_b7_annual_mass_flow_of_relevant_materials_used" display="               Annual mass-flow of relevant materials used"/>
    <hyperlink ref="B50" location="template_c3_GHG_reduction_targets_in_tC02e" display="· C3 - GHG reduction targets and climate transition"/>
    <hyperlink ref="B51" location="template_c3_GHG_reduction_targets_in_tC02e" display="              GHG reduction targets (in tC02e)"/>
    <hyperlink ref="B52" location="template_c3_disclosure_of_list_of_main_actions_the_entity_seeks_in_order_to_achieve_its_targets" display="              Disclosure of list of main actions the entity seeks in order  to achieve its targets"/>
    <hyperlink ref="B53" location="template_c3_transition_plan_for_undertakings_operating_in_high_climate_impact_sectors" display="              Transition plan for undertakings operating in high climate impact sectors"/>
    <hyperlink ref="B54" location="template_c4_climate_risks" display="· C4 - Climate risks"/>
    <hyperlink ref="B66" location="template_disclosure_of_any_other_environmental_and_or_entity_specific_enviromental_disclosures" display="· Disclosure of any other environmental and/or entity specific enviromental disclosures"/>
    <hyperlink ref="B55" location="'Social Disclosures'!A1" display="Social Disclosures"/>
    <hyperlink ref="B36" location="template_b8_workforce_general_characteristics_type_of_contract" display="· B8 - Workforce - General characteristics"/>
    <hyperlink ref="B37" location="template_b8_workforce_general_characteristics_type_of_contract" display="              Type of contract"/>
    <hyperlink ref="B38" location="template_b8_workforce_general_characteristics_gender" display="              Gender"/>
    <hyperlink ref="B39" location="template_b8_workforce_general_characteristics_country_of_employment" display="              Country of employment"/>
    <hyperlink ref="B40" location="template_b8_workforce_general_characteristics_turnover_rate" display="              Turnover rate"/>
    <hyperlink ref="B41" location="template_b9_workforce_health_and_safety" display="· B9 - Workforce – Health and safety"/>
    <hyperlink ref="B42" location="template_b10_workforce_remuneration_collective_bargaining_and_training" display="· B10 - Workforce – Remuneration, collective bargaining and training "/>
    <hyperlink ref="B56" location="template_c5_additional_general_workforce_characteristics" display="· C5 - Additional (general) workforce characteristics"/>
    <hyperlink ref="B57" location="template_c6_additional_own_workforce_information_human_rights_policies_and_processes" display="· C6 - Additional own workforce information - Human rights policies and processes"/>
    <hyperlink ref="B58" location="template_c7_severe_negative_human_rights_incidents" display="· C7 - Severe negative human rights incidents"/>
    <hyperlink ref="B67" location="template_disclosure_of_any_other_social_and_or_entity_specific_social_disclosures" display="· Disclosure of any other social and/or entity specific social disclosures"/>
    <hyperlink ref="B59" location="'Governance Disclosures'!A1" display="Governance Disclosures"/>
    <hyperlink ref="B44" location="template_b11_convictions_and_fines_for_corruption_and_bribery" display="· B11 - Convictions and fines for corruption and bribery"/>
    <hyperlink ref="B60" location="template_c8_revenues_from_certain_sectors" display="· C8 - Revenues from certain sectors and exclusion from EU reference benchmarks"/>
    <hyperlink ref="B61" location="template_c8_revenues_from_certain_sectors" display="              Revenues from certain sectors"/>
    <hyperlink ref="B62" location="template_c8_exclusion_from_EU_reference_benchmarks" display="              Exclusion from EU reference benchmarks"/>
    <hyperlink ref="B63" location="template_c9_gender_diversity_ratio_in_the_governance_body" display="· C9 - Gender diversity ratio in the governance body"/>
    <hyperlink ref="B68" location="template_disclosure_of_any_other_governance_and_or_entity_specific_governance_disclosures" display="· Disclosure of any other governance and/or entity specific governance disclosures"/>
    <hyperlink ref="B9" location="'General Information'!A1" display="General Information"/>
    <hyperlink ref="B46" location="'General Information'!A1" display="General Information"/>
    <hyperlink ref="B35" location="'Social Disclosures'!A1" display="Social Disclosures"/>
    <hyperlink ref="B43" location="'Governance Disclosures'!A1" display="Governance Disclosures"/>
    <hyperlink ref="B18" location="'Environmental Disclosures'!A1" display="Environmental Disclosures"/>
  </hyperlinks>
  <pageMargins left="0.25" right="0.25" top="0.75" bottom="0.75" header="0.3" footer="0.3"/>
  <pageSetup paperSize="9" scale="3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Q164"/>
  <sheetViews>
    <sheetView showGridLines="0" topLeftCell="D67" zoomScale="53" zoomScaleNormal="53" workbookViewId="0">
      <selection sqref="A1:E41"/>
    </sheetView>
  </sheetViews>
  <sheetFormatPr baseColWidth="10" defaultColWidth="8.875" defaultRowHeight="14.25" outlineLevelRow="2"/>
  <cols>
    <col min="1" max="2" width="10" bestFit="1" customWidth="1"/>
    <col min="3" max="3" width="54.875" customWidth="1"/>
    <col min="4" max="4" width="42.875" customWidth="1"/>
    <col min="5" max="5" width="41.25" customWidth="1"/>
    <col min="6" max="6" width="23.75" style="2" bestFit="1" customWidth="1"/>
    <col min="7" max="7" width="13.5" bestFit="1" customWidth="1"/>
    <col min="8" max="8" width="91.75" customWidth="1"/>
    <col min="9" max="9" width="13.25" bestFit="1" customWidth="1"/>
    <col min="10" max="10" width="25.75" bestFit="1" customWidth="1"/>
    <col min="11" max="11" width="43.5" bestFit="1" customWidth="1"/>
    <col min="12" max="12" width="11" customWidth="1"/>
    <col min="13" max="13" width="8.75" customWidth="1"/>
    <col min="14" max="14" width="24" customWidth="1"/>
    <col min="15" max="15" width="15.5" customWidth="1"/>
    <col min="16" max="16" width="58" customWidth="1"/>
    <col min="17" max="17" width="34.5" customWidth="1"/>
    <col min="18" max="18" width="25" customWidth="1"/>
  </cols>
  <sheetData>
    <row r="1" spans="1:11" ht="43.5" thickBot="1">
      <c r="A1" s="308" t="s">
        <v>4563</v>
      </c>
      <c r="B1" s="308" t="s">
        <v>4564</v>
      </c>
    </row>
    <row r="2" spans="1:11" ht="14.45" customHeight="1">
      <c r="A2" s="108"/>
      <c r="B2" s="108"/>
      <c r="C2" s="526" t="s">
        <v>3837</v>
      </c>
      <c r="D2" s="527"/>
      <c r="E2" s="528"/>
    </row>
    <row r="3" spans="1:11" ht="14.45" customHeight="1">
      <c r="A3" s="108"/>
      <c r="B3" s="108"/>
      <c r="C3" s="145" t="s">
        <v>0</v>
      </c>
      <c r="D3" s="545" t="s">
        <v>4823</v>
      </c>
      <c r="E3" s="546"/>
      <c r="F3" s="11" t="str">
        <f>IF(D3="","MISSING VALUE","OK")</f>
        <v>OK</v>
      </c>
    </row>
    <row r="4" spans="1:11" ht="14.45" customHeight="1">
      <c r="A4" s="108"/>
      <c r="B4" s="108"/>
      <c r="C4" s="145" t="s">
        <v>4485</v>
      </c>
      <c r="D4" s="445" t="s">
        <v>4481</v>
      </c>
      <c r="E4">
        <v>551198927</v>
      </c>
      <c r="F4" s="11" t="str">
        <f>IF(OR(D4="", E4=""),"MISSING VALUE","OK")</f>
        <v>OK</v>
      </c>
    </row>
    <row r="5" spans="1:11" ht="14.45" customHeight="1" thickBot="1">
      <c r="C5" s="279" t="s">
        <v>3636</v>
      </c>
      <c r="D5" s="547" t="s">
        <v>4700</v>
      </c>
      <c r="E5" s="548"/>
      <c r="F5" s="11" t="str">
        <f>IF(D5="","MISSING VALUE","OK")</f>
        <v>OK</v>
      </c>
      <c r="H5" s="53"/>
    </row>
    <row r="6" spans="1:11" ht="14.45" customHeight="1">
      <c r="C6" s="278" t="s">
        <v>3783</v>
      </c>
      <c r="D6" s="549">
        <v>2024</v>
      </c>
      <c r="E6" s="550"/>
      <c r="F6" s="499" t="str">
        <f>IF(OR(D6="", D7="", D8=""),
    "MISSING VALUE",
    IF(OR(
        AND(D7=2, D8&gt;29),
        AND(D7=2, D8=29, NOT(AND(MOD(D6,4)=0, OR(MOD(D6,100)&lt;&gt;0, MOD(D6,400)=0)))),
        AND(OR(D7=4, D7=6, D7=9, D7=11), D8=31)
    ),
        "ERROR",
        IF(F10="VALUE INCONSISTENCY", "VALUE INCONSISTENCY", "OK")
    )
)</f>
        <v>OK</v>
      </c>
    </row>
    <row r="7" spans="1:11" ht="14.45" customHeight="1">
      <c r="C7" s="161" t="s">
        <v>3784</v>
      </c>
      <c r="D7" s="551">
        <v>1</v>
      </c>
      <c r="E7" s="552"/>
      <c r="F7" s="499"/>
    </row>
    <row r="8" spans="1:11" ht="14.45" customHeight="1">
      <c r="C8" s="161" t="s">
        <v>3785</v>
      </c>
      <c r="D8" s="553">
        <v>1</v>
      </c>
      <c r="E8" s="554"/>
      <c r="F8" s="499"/>
    </row>
    <row r="9" spans="1:11" ht="14.45" customHeight="1" thickBot="1">
      <c r="C9" s="142" t="s">
        <v>3786</v>
      </c>
      <c r="D9" s="560" t="str">
        <f>IF(OR(ISBLANK(D6), ISBLANK(D7), ISBLANK(D8)), "-", D6 &amp; "-" &amp; TEXT(D7, "00") &amp; "-" &amp; TEXT(D8, "00"))</f>
        <v>2024-01-01</v>
      </c>
      <c r="E9" s="561"/>
      <c r="F9"/>
      <c r="H9" s="53"/>
    </row>
    <row r="10" spans="1:11" ht="14.45" customHeight="1">
      <c r="C10" s="278" t="s">
        <v>3787</v>
      </c>
      <c r="D10" s="549">
        <v>2024</v>
      </c>
      <c r="E10" s="550"/>
      <c r="F10" s="499" t="str">
        <f>IF(OR(D10="",D11="",D12=""),"MISSING VALUE",
IF(OR(
   AND(D11=2, D12&gt;29),
   AND(D11=2, D12=29, NOT(AND(MOD(D10,4)=0, OR(MOD(D10,100)&lt;&gt;0, MOD(D10,400)=0)))),
   AND(OR(D11=4, D11=6, D11=9, D11=11), D12=31)
),"ERROR",
IF(D10&lt;D6,"VALUE INCONSISTENCY",
IF(D10&gt;D6,"OK",
IF(AND(D10=D6,
MATCH(D11, {1;2;3;4;5;6;7;8;9;10;11;12}, 0) &lt;
MATCH(D7, {1;2;3;4;5;6;7;8;9;10;11;12}, 0)),
"VALUE INCONSISTENCY",
IF(AND(D10=D6,
MATCH(D11, {1;2;3;4;5;6;7;8;9;10;11;12}, 0) &gt;
MATCH(D7, {1;2;3;4;5;6;7;8;9;10;11;12}, 0)),
"OK",
IF(AND(D10=D6,
MATCH(D11, {1;2;3;4;5;6;7;8;9;10;11;12}, 0) =
MATCH(D7, {1;2;3;4;5;6;7;8;9;10;11;12}, 0),
D12&lt;D8),
"VALUE INCONSISTENCY",
"OK"
)))))
))</f>
        <v>OK</v>
      </c>
      <c r="K10" s="53"/>
    </row>
    <row r="11" spans="1:11" ht="14.45" customHeight="1">
      <c r="C11" s="161" t="s">
        <v>3788</v>
      </c>
      <c r="D11" s="562">
        <v>12</v>
      </c>
      <c r="E11" s="563"/>
      <c r="F11" s="499"/>
    </row>
    <row r="12" spans="1:11" ht="14.45" customHeight="1">
      <c r="C12" s="161" t="s">
        <v>3789</v>
      </c>
      <c r="D12" s="564">
        <v>31</v>
      </c>
      <c r="E12" s="565"/>
      <c r="F12" s="499"/>
    </row>
    <row r="13" spans="1:11" ht="14.45" customHeight="1" thickBot="1">
      <c r="A13" s="108"/>
      <c r="B13" s="108"/>
      <c r="C13" s="142" t="s">
        <v>3790</v>
      </c>
      <c r="D13" s="560" t="str">
        <f>IF(OR(ISBLANK(D10), ISBLANK(D11), ISBLANK(D12)), "-", D10 &amp; "-" &amp; TEXT(D11, "00") &amp; "-" &amp; TEXT(D12, "00"))</f>
        <v>2024-12-31</v>
      </c>
      <c r="E13" s="561"/>
      <c r="F13" s="11"/>
    </row>
    <row r="14" spans="1:11" ht="15">
      <c r="A14" s="108"/>
      <c r="B14" s="108"/>
      <c r="C14" s="109"/>
      <c r="D14" s="109"/>
      <c r="E14" s="110"/>
      <c r="F14" s="11"/>
    </row>
    <row r="15" spans="1:11" ht="15" customHeight="1" thickBot="1">
      <c r="A15" s="108"/>
      <c r="B15" s="108"/>
      <c r="E15" s="12"/>
    </row>
    <row r="16" spans="1:11" ht="15">
      <c r="A16" s="111"/>
      <c r="B16" s="108"/>
      <c r="C16" s="531" t="s">
        <v>3641</v>
      </c>
      <c r="D16" s="532"/>
      <c r="E16" s="533"/>
    </row>
    <row r="17" spans="1:6" ht="15">
      <c r="A17" s="111"/>
      <c r="B17" s="108"/>
      <c r="C17" s="536">
        <v>16</v>
      </c>
      <c r="D17" s="537"/>
      <c r="E17" s="538"/>
      <c r="F17" s="280"/>
    </row>
    <row r="18" spans="1:6" ht="14.45" customHeight="1">
      <c r="C18" s="495" t="s">
        <v>2</v>
      </c>
      <c r="D18" s="496"/>
      <c r="E18" s="71" t="b">
        <v>0</v>
      </c>
      <c r="F18" s="11" t="str">
        <f>IF(E18=FALSE,"","OK")</f>
        <v/>
      </c>
    </row>
    <row r="19" spans="1:6" ht="14.45" customHeight="1">
      <c r="C19" s="539" t="s">
        <v>3</v>
      </c>
      <c r="D19" s="540"/>
      <c r="E19" s="72"/>
      <c r="F19" s="11" t="str">
        <f>IF(AND(E18=FALSE, E19=""), "",
IF(AND(E18=FALSE, E19&lt;&gt;""), "",
IF(AND(E18=TRUE, E19=""), "MISSING VALUE",
IF(AND(E18=TRUE, E19&lt;&gt;"", COUNTIF(E19:E28, E19) = COUNTA(E19:E28), COUNTA(E19:E28)&gt;1), "VALUE INCONSISTENCY",
"OK"))))</f>
        <v/>
      </c>
    </row>
    <row r="20" spans="1:6" ht="14.45" hidden="1" customHeight="1" outlineLevel="2">
      <c r="C20" s="541"/>
      <c r="D20" s="542"/>
      <c r="E20" s="73"/>
      <c r="F20" s="11" t="str">
        <f>IF($E$18=FALSE, "",
IF(E20="", "",
IF(COUNTIF($E$19:$E$28, E20) &gt; 1, "VALUE INCONSISTENCY", "OK")))</f>
        <v/>
      </c>
    </row>
    <row r="21" spans="1:6" ht="14.45" hidden="1" customHeight="1" outlineLevel="2">
      <c r="C21" s="541"/>
      <c r="D21" s="542"/>
      <c r="E21" s="73"/>
      <c r="F21" s="11" t="str">
        <f t="shared" ref="F21:F28" si="0">IF($E$18=FALSE, "",
IF(E21="", "",
IF(COUNTIF($E$19:$E$28, E21) &gt; 1, "VALUE INCONSISTENCY", "OK")))</f>
        <v/>
      </c>
    </row>
    <row r="22" spans="1:6" ht="14.45" hidden="1" customHeight="1" outlineLevel="2">
      <c r="C22" s="541"/>
      <c r="D22" s="542"/>
      <c r="E22" s="73"/>
      <c r="F22" s="11" t="str">
        <f t="shared" si="0"/>
        <v/>
      </c>
    </row>
    <row r="23" spans="1:6" ht="14.45" hidden="1" customHeight="1" outlineLevel="2">
      <c r="C23" s="541"/>
      <c r="D23" s="542"/>
      <c r="E23" s="73"/>
      <c r="F23" s="11" t="str">
        <f t="shared" si="0"/>
        <v/>
      </c>
    </row>
    <row r="24" spans="1:6" ht="14.45" hidden="1" customHeight="1" outlineLevel="2">
      <c r="C24" s="541"/>
      <c r="D24" s="542"/>
      <c r="E24" s="73"/>
      <c r="F24" s="11" t="str">
        <f t="shared" si="0"/>
        <v/>
      </c>
    </row>
    <row r="25" spans="1:6" ht="14.45" hidden="1" customHeight="1" outlineLevel="2">
      <c r="C25" s="541"/>
      <c r="D25" s="542"/>
      <c r="E25" s="73"/>
      <c r="F25" s="11" t="str">
        <f t="shared" si="0"/>
        <v/>
      </c>
    </row>
    <row r="26" spans="1:6" ht="14.45" hidden="1" customHeight="1" outlineLevel="2">
      <c r="C26" s="541"/>
      <c r="D26" s="542"/>
      <c r="E26" s="73"/>
      <c r="F26" s="11" t="str">
        <f t="shared" si="0"/>
        <v/>
      </c>
    </row>
    <row r="27" spans="1:6" ht="14.45" hidden="1" customHeight="1" outlineLevel="2">
      <c r="C27" s="541"/>
      <c r="D27" s="542"/>
      <c r="E27" s="73"/>
      <c r="F27" s="11" t="str">
        <f t="shared" si="0"/>
        <v/>
      </c>
    </row>
    <row r="28" spans="1:6" ht="14.45" hidden="1" customHeight="1" outlineLevel="2">
      <c r="C28" s="543"/>
      <c r="D28" s="544"/>
      <c r="E28" s="73"/>
      <c r="F28" s="11" t="str">
        <f t="shared" si="0"/>
        <v/>
      </c>
    </row>
    <row r="29" spans="1:6" ht="14.45" customHeight="1" collapsed="1" thickBot="1">
      <c r="A29" s="112"/>
      <c r="B29" s="112"/>
      <c r="C29" s="574" t="s">
        <v>3369</v>
      </c>
      <c r="D29" s="575"/>
      <c r="E29" s="255"/>
      <c r="F29" s="11" t="str">
        <f>IF(AND(E18=FALSE,E29=""),"",IF(AND(E18=TRUE,E29=""),"MISSING VALUE",
IF(AND(E18=FALSE,E29&lt;&gt;""),"",
IF(AND(E18=TRUE,E29&lt;&gt;"",OR(LEFT(E29,7)="http://",LEFT(E29,8)="https://",LEFT(E29,4)="www.")),"OK",
IF(E18=TRUE,"INVALID URL","MISSING VALUE")))))</f>
        <v/>
      </c>
    </row>
    <row r="30" spans="1:6" ht="15" thickBot="1">
      <c r="A30" s="113"/>
      <c r="B30" s="113"/>
    </row>
    <row r="31" spans="1:6" ht="17.649999999999999" customHeight="1">
      <c r="C31" s="500" t="str">
        <f>"B1 - Basis for Preparation and other undertaking's general information " &amp; template_reporting_period_display &amp; " [Always to be reported]"</f>
        <v>B1 - Basis for Preparation and other undertaking's general information from 2024-01-01 to 2024-12-31 [Always to be reported]</v>
      </c>
      <c r="D31" s="501"/>
      <c r="E31" s="502"/>
      <c r="F31"/>
    </row>
    <row r="32" spans="1:6" ht="15">
      <c r="A32" s="293" t="s">
        <v>4566</v>
      </c>
      <c r="B32" s="283" t="s">
        <v>1</v>
      </c>
      <c r="C32" s="534" t="s">
        <v>3774</v>
      </c>
      <c r="D32" s="535"/>
      <c r="E32" s="74" t="s">
        <v>4824</v>
      </c>
      <c r="F32" s="11" t="str">
        <f>IF(E32="","MISSING VALUE","OK")</f>
        <v>OK</v>
      </c>
    </row>
    <row r="33" spans="1:6" ht="15">
      <c r="A33" s="293" t="s">
        <v>4567</v>
      </c>
      <c r="B33" s="283" t="s">
        <v>1</v>
      </c>
      <c r="C33" s="503" t="s">
        <v>4</v>
      </c>
      <c r="D33" s="504"/>
      <c r="E33" s="74" t="s">
        <v>2677</v>
      </c>
      <c r="F33" s="11" t="str">
        <f>IF(E32="", "",
IF(AND(OR(E32="Option A (Basic Module only)", E32="Option B (Basic Module and Comprehensive Module)"), E33=""), "MISSING VALUE",
IF(COUNTIF(E33:E42, E33) &gt; 1, "VALUE INCONSISTENCY", "OK")))</f>
        <v>OK</v>
      </c>
    </row>
    <row r="34" spans="1:6" ht="14.45" hidden="1" customHeight="1" outlineLevel="2">
      <c r="C34" s="503"/>
      <c r="D34" s="504"/>
      <c r="E34" s="75"/>
      <c r="F34" s="11" t="str">
        <f>IF(AND($E$33="None",E34&lt;&gt;""), "VALUE INCONSISTENCY",
IF(E34="", "",
IF(COUNTIF($E$33:$E$41, E34) &gt; 1,
   "VALUE INCONSISTENCY",
   "OK")))</f>
        <v/>
      </c>
    </row>
    <row r="35" spans="1:6" ht="14.45" hidden="1" customHeight="1" outlineLevel="2">
      <c r="C35" s="503"/>
      <c r="D35" s="504"/>
      <c r="E35" s="75"/>
      <c r="F35" s="11" t="str">
        <f t="shared" ref="F35:F41" si="1">IF(AND($E$33="None",E35&lt;&gt;""), "VALUE INCONSISTENCY",
IF(E35="", "",
IF(COUNTIF($E$33:$E$41, E35) &gt; 1,
   "VALUE INCONSISTENCY",
   "OK")))</f>
        <v/>
      </c>
    </row>
    <row r="36" spans="1:6" ht="14.45" hidden="1" customHeight="1" outlineLevel="2">
      <c r="C36" s="503"/>
      <c r="D36" s="504"/>
      <c r="E36" s="75"/>
      <c r="F36" s="11" t="str">
        <f t="shared" si="1"/>
        <v/>
      </c>
    </row>
    <row r="37" spans="1:6" ht="14.45" hidden="1" customHeight="1" outlineLevel="2">
      <c r="C37" s="503"/>
      <c r="D37" s="504"/>
      <c r="E37" s="75"/>
      <c r="F37" s="11" t="str">
        <f t="shared" si="1"/>
        <v/>
      </c>
    </row>
    <row r="38" spans="1:6" ht="14.45" hidden="1" customHeight="1" outlineLevel="2">
      <c r="C38" s="503"/>
      <c r="D38" s="504"/>
      <c r="E38" s="75"/>
      <c r="F38" s="11" t="str">
        <f t="shared" si="1"/>
        <v/>
      </c>
    </row>
    <row r="39" spans="1:6" ht="14.45" hidden="1" customHeight="1" outlineLevel="2">
      <c r="C39" s="503"/>
      <c r="D39" s="504"/>
      <c r="E39" s="75"/>
      <c r="F39" s="11" t="str">
        <f t="shared" si="1"/>
        <v/>
      </c>
    </row>
    <row r="40" spans="1:6" ht="14.45" hidden="1" customHeight="1" outlineLevel="2">
      <c r="C40" s="503"/>
      <c r="D40" s="504"/>
      <c r="E40" s="75"/>
      <c r="F40" s="11" t="str">
        <f t="shared" si="1"/>
        <v/>
      </c>
    </row>
    <row r="41" spans="1:6" ht="14.45" hidden="1" customHeight="1" outlineLevel="2">
      <c r="C41" s="503"/>
      <c r="D41" s="504"/>
      <c r="E41" s="75"/>
      <c r="F41" s="11" t="str">
        <f t="shared" si="1"/>
        <v/>
      </c>
    </row>
    <row r="42" spans="1:6" ht="28.5" collapsed="1">
      <c r="A42" s="293" t="s">
        <v>4568</v>
      </c>
      <c r="B42" s="283" t="s">
        <v>1</v>
      </c>
      <c r="C42" s="534" t="s">
        <v>3834</v>
      </c>
      <c r="D42" s="535"/>
      <c r="E42" s="74" t="s">
        <v>4825</v>
      </c>
      <c r="F42" s="11" t="str">
        <f>IF(AND(OR(E32="Option A (Basic Module only)", E32="Option B (Basic Module and Comprehensive Module)"),E42=""),"MISSING VALUE",IF(E32="","","OK"))</f>
        <v>OK</v>
      </c>
    </row>
    <row r="43" spans="1:6" ht="15">
      <c r="A43" s="555" t="s">
        <v>4822</v>
      </c>
      <c r="B43" s="557">
        <v>68</v>
      </c>
      <c r="C43" s="534" t="s">
        <v>5</v>
      </c>
      <c r="D43" s="535"/>
      <c r="E43" s="74" t="s">
        <v>2772</v>
      </c>
      <c r="F43" s="11" t="str">
        <f>IF(AND(OR(E32="Option A (Basic Module only)", E32="Option B (Basic Module and Comprehensive Module)"),E43=""),"MISSING VALUE",IF(E32="","","OK"))</f>
        <v>OK</v>
      </c>
    </row>
    <row r="44" spans="1:6" ht="15">
      <c r="A44" s="556"/>
      <c r="B44" s="557"/>
      <c r="C44" s="558" t="s">
        <v>3777</v>
      </c>
      <c r="D44" s="559"/>
      <c r="E44" s="76"/>
      <c r="F44" s="11" t="str">
        <f>IF(AND(E43="other (please specify the legal form in the row below)",E44&lt;&gt;""),"OK",IF(AND(E43="other (please specify the legal form in the row below)",E44=""),"MISSING VALUE",IF(AND(E43="",E44=""),"",IF(AND(E43&lt;&gt;"other (please specify the legal form in the row below)",E44=""),"",""))))</f>
        <v/>
      </c>
    </row>
    <row r="45" spans="1:6" ht="14.45" customHeight="1">
      <c r="A45" s="566" t="s">
        <v>4569</v>
      </c>
      <c r="B45" s="568" t="s">
        <v>4570</v>
      </c>
      <c r="C45" s="534" t="s">
        <v>2779</v>
      </c>
      <c r="D45" s="535"/>
      <c r="E45" s="74" t="s">
        <v>4826</v>
      </c>
      <c r="F45" s="11" t="str">
        <f>IF(OR(E32="Option A (Basic Module only)", E32="Option B (Basic Module and Comprehensive Module)"),
    IF(COUNTIF(enum_ListNACECategories, E45)&gt;0, "ERROR",
        IF(E45="", "MISSING VALUE",
            IF(COUNTIF(E45:E59, E45)&gt;1, "VALUE INCONSISTENCY", "OK")
        )
    ),
    ""
)</f>
        <v>OK</v>
      </c>
    </row>
    <row r="46" spans="1:6" ht="14.45" hidden="1" customHeight="1" outlineLevel="1">
      <c r="A46" s="567"/>
      <c r="B46" s="569"/>
      <c r="C46" s="534"/>
      <c r="D46" s="535"/>
      <c r="E46" s="77"/>
      <c r="F46" s="11" t="str">
        <f t="shared" ref="F46:F59" si="2">IF(COUNTIF(enum_ListNACECategories, E46)&gt;0, "ERROR",
IF(E46="", "",
IF(COUNTIF(E45:E59, E46)&gt;1, "VALUE INCONSISTENCY", "OK")))</f>
        <v/>
      </c>
    </row>
    <row r="47" spans="1:6" ht="14.45" hidden="1" customHeight="1" outlineLevel="1">
      <c r="A47" s="567"/>
      <c r="B47" s="569"/>
      <c r="C47" s="534"/>
      <c r="D47" s="535"/>
      <c r="E47" s="77"/>
      <c r="F47" s="11" t="str">
        <f t="shared" si="2"/>
        <v/>
      </c>
    </row>
    <row r="48" spans="1:6" ht="14.45" hidden="1" customHeight="1" outlineLevel="1">
      <c r="A48" s="567"/>
      <c r="B48" s="569"/>
      <c r="C48" s="534"/>
      <c r="D48" s="535"/>
      <c r="E48" s="77"/>
      <c r="F48" s="11" t="str">
        <f t="shared" si="2"/>
        <v/>
      </c>
    </row>
    <row r="49" spans="1:6" ht="14.45" hidden="1" customHeight="1" outlineLevel="1">
      <c r="A49" s="567"/>
      <c r="B49" s="569"/>
      <c r="C49" s="534"/>
      <c r="D49" s="535"/>
      <c r="E49" s="77"/>
      <c r="F49" s="11" t="str">
        <f t="shared" si="2"/>
        <v/>
      </c>
    </row>
    <row r="50" spans="1:6" ht="14.45" hidden="1" customHeight="1" outlineLevel="1">
      <c r="A50" s="567"/>
      <c r="B50" s="569"/>
      <c r="C50" s="534"/>
      <c r="D50" s="535"/>
      <c r="E50" s="77"/>
      <c r="F50" s="11" t="str">
        <f t="shared" si="2"/>
        <v/>
      </c>
    </row>
    <row r="51" spans="1:6" ht="14.45" hidden="1" customHeight="1" outlineLevel="1">
      <c r="A51" s="567"/>
      <c r="B51" s="569"/>
      <c r="C51" s="534"/>
      <c r="D51" s="535"/>
      <c r="E51" s="77"/>
      <c r="F51" s="11" t="str">
        <f t="shared" si="2"/>
        <v/>
      </c>
    </row>
    <row r="52" spans="1:6" ht="14.45" hidden="1" customHeight="1" outlineLevel="1">
      <c r="A52" s="567"/>
      <c r="B52" s="569"/>
      <c r="C52" s="534"/>
      <c r="D52" s="535"/>
      <c r="E52" s="77"/>
      <c r="F52" s="11" t="str">
        <f t="shared" si="2"/>
        <v/>
      </c>
    </row>
    <row r="53" spans="1:6" ht="14.45" hidden="1" customHeight="1" outlineLevel="1">
      <c r="A53" s="567"/>
      <c r="B53" s="569"/>
      <c r="C53" s="534"/>
      <c r="D53" s="535"/>
      <c r="E53" s="77"/>
      <c r="F53" s="11" t="str">
        <f t="shared" si="2"/>
        <v/>
      </c>
    </row>
    <row r="54" spans="1:6" ht="14.45" hidden="1" customHeight="1" outlineLevel="1">
      <c r="A54" s="567"/>
      <c r="B54" s="569"/>
      <c r="C54" s="534"/>
      <c r="D54" s="535"/>
      <c r="E54" s="77"/>
      <c r="F54" s="11" t="str">
        <f t="shared" si="2"/>
        <v/>
      </c>
    </row>
    <row r="55" spans="1:6" ht="14.45" hidden="1" customHeight="1" outlineLevel="1">
      <c r="A55" s="567"/>
      <c r="B55" s="569"/>
      <c r="C55" s="534"/>
      <c r="D55" s="535"/>
      <c r="E55" s="77"/>
      <c r="F55" s="11" t="str">
        <f t="shared" si="2"/>
        <v/>
      </c>
    </row>
    <row r="56" spans="1:6" ht="14.45" hidden="1" customHeight="1" outlineLevel="1">
      <c r="A56" s="567"/>
      <c r="B56" s="569"/>
      <c r="C56" s="534"/>
      <c r="D56" s="535"/>
      <c r="E56" s="77"/>
      <c r="F56" s="11" t="str">
        <f t="shared" si="2"/>
        <v/>
      </c>
    </row>
    <row r="57" spans="1:6" ht="14.45" hidden="1" customHeight="1" outlineLevel="1">
      <c r="A57" s="567"/>
      <c r="B57" s="569"/>
      <c r="C57" s="534"/>
      <c r="D57" s="535"/>
      <c r="E57" s="77"/>
      <c r="F57" s="11" t="str">
        <f t="shared" si="2"/>
        <v/>
      </c>
    </row>
    <row r="58" spans="1:6" ht="14.45" hidden="1" customHeight="1" outlineLevel="1">
      <c r="A58" s="567"/>
      <c r="B58" s="569"/>
      <c r="C58" s="534"/>
      <c r="D58" s="535"/>
      <c r="E58" s="77"/>
      <c r="F58" s="11" t="str">
        <f t="shared" si="2"/>
        <v/>
      </c>
    </row>
    <row r="59" spans="1:6" ht="14.45" hidden="1" customHeight="1" outlineLevel="1">
      <c r="A59" s="567"/>
      <c r="B59" s="569"/>
      <c r="C59" s="534"/>
      <c r="D59" s="535"/>
      <c r="E59" s="77"/>
      <c r="F59" s="11" t="str">
        <f t="shared" si="2"/>
        <v/>
      </c>
    </row>
    <row r="60" spans="1:6" ht="14.45" customHeight="1" collapsed="1">
      <c r="A60" s="293" t="s">
        <v>4571</v>
      </c>
      <c r="B60" s="283" t="s">
        <v>1</v>
      </c>
      <c r="C60" s="534" t="str">
        <f>"Size of balance sheet in " &amp; template_currency</f>
        <v>Size of balance sheet in EUR</v>
      </c>
      <c r="D60" s="535"/>
      <c r="E60" s="78">
        <v>19179165</v>
      </c>
      <c r="F60" s="11" t="str">
        <f>IF(AND(OR(E32="Option A (Basic Module only)", E32="Option B (Basic Module and Comprehensive Module)"),E60=""),"MISSING VALUE",IF(E32="","","OK"))</f>
        <v>OK</v>
      </c>
    </row>
    <row r="61" spans="1:6" ht="14.45" customHeight="1">
      <c r="A61" s="293" t="s">
        <v>4572</v>
      </c>
      <c r="B61" s="283" t="s">
        <v>1</v>
      </c>
      <c r="C61" s="534" t="str">
        <f>"Turnover in " &amp;  template_currency</f>
        <v>Turnover in EUR</v>
      </c>
      <c r="D61" s="535"/>
      <c r="E61" s="78">
        <v>24208856</v>
      </c>
      <c r="F61" s="11" t="str">
        <f>IF(AND(OR(E32="Option A (Basic Module only)", E32="Option B (Basic Module and Comprehensive Module)"),E61=""),"MISSING VALUE",IF(E32="","","OK"))</f>
        <v>OK</v>
      </c>
    </row>
    <row r="62" spans="1:6" ht="14.45" customHeight="1">
      <c r="A62" s="293" t="s">
        <v>4559</v>
      </c>
      <c r="B62" s="295" t="s">
        <v>4558</v>
      </c>
      <c r="C62" s="534" t="s">
        <v>6</v>
      </c>
      <c r="D62" s="535"/>
      <c r="E62" s="79">
        <v>120</v>
      </c>
      <c r="F62" s="11" t="str">
        <f>IF(AND(OR(E32="Option A (Basic Module only)", E32="Option B (Basic Module and Comprehensive Module)"),E62=""),"MISSING VALUE",IF(E32="","","OK"))</f>
        <v>OK</v>
      </c>
    </row>
    <row r="63" spans="1:6" ht="14.45" customHeight="1">
      <c r="A63" s="293" t="s">
        <v>4559</v>
      </c>
      <c r="B63" s="295" t="s">
        <v>4573</v>
      </c>
      <c r="C63" s="497" t="s">
        <v>3842</v>
      </c>
      <c r="D63" s="498"/>
      <c r="E63" s="79" t="s">
        <v>3845</v>
      </c>
      <c r="F63" s="11" t="str">
        <f>IF(AND(OR(E32="Option A (Basic Module only)", E32="Option B (Basic Module and Comprehensive Module)"),E63=""),"MISSING VALUE",IF(E32="","","OK"))</f>
        <v>OK</v>
      </c>
    </row>
    <row r="64" spans="1:6" ht="14.45" customHeight="1">
      <c r="A64" s="293" t="s">
        <v>4559</v>
      </c>
      <c r="B64" s="295" t="s">
        <v>4573</v>
      </c>
      <c r="C64" s="534" t="s">
        <v>3843</v>
      </c>
      <c r="D64" s="535"/>
      <c r="E64" s="75" t="s">
        <v>4832</v>
      </c>
      <c r="F64" s="11" t="str">
        <f>IF(AND(OR(E32="Option A (Basic Module only)", E32="Option B (Basic Module and Comprehensive Module)"),E64=""),"MISSING VALUE",IF(E32="","","OK"))</f>
        <v>OK</v>
      </c>
    </row>
    <row r="65" spans="1:6" ht="14.45" customHeight="1" thickBot="1">
      <c r="A65" s="293" t="s">
        <v>4575</v>
      </c>
      <c r="B65" s="295" t="s">
        <v>4574</v>
      </c>
      <c r="C65" s="570" t="s">
        <v>7</v>
      </c>
      <c r="D65" s="571"/>
      <c r="E65" s="80" t="s">
        <v>294</v>
      </c>
      <c r="F65" s="11" t="str">
        <f>IF(AND(OR(E32="Option A (Basic Module only)", E32="Option B (Basic Module and Comprehensive Module)"),E65=""),"MISSING VALUE",IF(E32="","","OK"))</f>
        <v>OK</v>
      </c>
    </row>
    <row r="66" spans="1:6" ht="15" thickBot="1">
      <c r="A66" s="281"/>
      <c r="B66" s="108"/>
    </row>
    <row r="67" spans="1:6" ht="14.45" customHeight="1">
      <c r="A67" s="108"/>
      <c r="B67" s="108"/>
      <c r="C67" s="500" t="str">
        <f xml:space="preserve"> "B1 - List of subsidiaries " &amp; template_reporting_period_display &amp; " [If applicable]"</f>
        <v>B1 - List of subsidiaries from 2024-01-01 to 2024-12-31 [If applicable]</v>
      </c>
      <c r="D67" s="501"/>
      <c r="E67" s="502"/>
    </row>
    <row r="68" spans="1:6" ht="14.45" customHeight="1">
      <c r="A68" s="108"/>
      <c r="B68" s="108"/>
      <c r="C68" s="515" t="s">
        <v>4576</v>
      </c>
      <c r="D68" s="516"/>
      <c r="E68" s="517"/>
      <c r="F68" s="114"/>
    </row>
    <row r="69" spans="1:6" ht="14.45" customHeight="1">
      <c r="A69" s="108"/>
      <c r="B69" s="108"/>
      <c r="C69" s="4" t="s">
        <v>8</v>
      </c>
      <c r="D69" s="1" t="s">
        <v>9</v>
      </c>
      <c r="E69" s="115" t="s">
        <v>3742</v>
      </c>
    </row>
    <row r="70" spans="1:6" ht="14.45" customHeight="1" thickBot="1">
      <c r="A70" s="108"/>
      <c r="B70" s="108"/>
      <c r="C70" s="260">
        <v>1</v>
      </c>
      <c r="D70" s="81"/>
      <c r="E70" s="82"/>
      <c r="F70" s="11" t="str">
        <f>IF(AND(BasisForReporting="Sustainability report prepared on a consolidated basis",D70&lt;&gt;"",E70=""),"MISSING VALUE", IF(AND(BasisForReporting="Sustainability report prepared on a consolidated basis",D70&lt;&gt;"",E70&lt;&gt;""),"OK", IF(AND(BasisForReporting="Sustainability report prepared on a consolidated basis",D70="",E70=""),"MISSING VALUE", "")))</f>
        <v/>
      </c>
    </row>
    <row r="71" spans="1:6" ht="14.45" hidden="1" customHeight="1" outlineLevel="1">
      <c r="A71" s="108"/>
      <c r="B71" s="108"/>
      <c r="C71" s="441">
        <v>2</v>
      </c>
      <c r="D71" s="83"/>
      <c r="E71" s="84"/>
      <c r="F71" s="106" t="str">
        <f t="shared" ref="F71:F94" si="3">IF(AND(D71&lt;&gt;"",E71=""),"MISSING VALUE", IF(AND(D71&lt;&gt;"",E71&lt;&gt;""),"OK", IF(AND(D71="",E71=""),"", "MISSING VALUE")))</f>
        <v/>
      </c>
    </row>
    <row r="72" spans="1:6" ht="14.45" hidden="1" customHeight="1" outlineLevel="1">
      <c r="C72" s="258">
        <v>3</v>
      </c>
      <c r="D72" s="85"/>
      <c r="E72" s="86"/>
      <c r="F72" s="106" t="str">
        <f t="shared" si="3"/>
        <v/>
      </c>
    </row>
    <row r="73" spans="1:6" ht="14.45" hidden="1" customHeight="1" outlineLevel="1">
      <c r="C73" s="258">
        <v>4</v>
      </c>
      <c r="D73" s="85"/>
      <c r="E73" s="86"/>
      <c r="F73" s="106" t="str">
        <f t="shared" si="3"/>
        <v/>
      </c>
    </row>
    <row r="74" spans="1:6" ht="14.45" hidden="1" customHeight="1" outlineLevel="1">
      <c r="C74" s="259">
        <v>5</v>
      </c>
      <c r="D74" s="85"/>
      <c r="E74" s="86"/>
      <c r="F74" s="106" t="str">
        <f t="shared" si="3"/>
        <v/>
      </c>
    </row>
    <row r="75" spans="1:6" ht="14.45" hidden="1" customHeight="1" outlineLevel="1">
      <c r="C75" s="258">
        <v>6</v>
      </c>
      <c r="D75" s="85"/>
      <c r="E75" s="86"/>
      <c r="F75" s="106" t="str">
        <f t="shared" si="3"/>
        <v/>
      </c>
    </row>
    <row r="76" spans="1:6" ht="14.45" hidden="1" customHeight="1" outlineLevel="1">
      <c r="C76" s="258">
        <v>7</v>
      </c>
      <c r="D76" s="85"/>
      <c r="E76" s="86"/>
      <c r="F76" s="106" t="str">
        <f t="shared" si="3"/>
        <v/>
      </c>
    </row>
    <row r="77" spans="1:6" ht="14.45" hidden="1" customHeight="1" outlineLevel="1">
      <c r="C77" s="259">
        <v>8</v>
      </c>
      <c r="D77" s="85"/>
      <c r="E77" s="86"/>
      <c r="F77" s="106" t="str">
        <f t="shared" si="3"/>
        <v/>
      </c>
    </row>
    <row r="78" spans="1:6" ht="14.45" hidden="1" customHeight="1" outlineLevel="1">
      <c r="C78" s="258">
        <v>9</v>
      </c>
      <c r="D78" s="85"/>
      <c r="E78" s="86"/>
      <c r="F78" s="106" t="str">
        <f t="shared" si="3"/>
        <v/>
      </c>
    </row>
    <row r="79" spans="1:6" ht="14.45" hidden="1" customHeight="1" outlineLevel="1">
      <c r="C79" s="258">
        <v>10</v>
      </c>
      <c r="D79" s="85"/>
      <c r="E79" s="86"/>
      <c r="F79" s="106" t="str">
        <f t="shared" si="3"/>
        <v/>
      </c>
    </row>
    <row r="80" spans="1:6" ht="14.45" hidden="1" customHeight="1" outlineLevel="1">
      <c r="C80" s="259">
        <v>11</v>
      </c>
      <c r="D80" s="85"/>
      <c r="E80" s="86"/>
      <c r="F80" s="106" t="str">
        <f t="shared" si="3"/>
        <v/>
      </c>
    </row>
    <row r="81" spans="3:8" ht="14.45" hidden="1" customHeight="1" outlineLevel="1">
      <c r="C81" s="258">
        <v>12</v>
      </c>
      <c r="D81" s="85"/>
      <c r="E81" s="86"/>
      <c r="F81" s="106" t="str">
        <f t="shared" si="3"/>
        <v/>
      </c>
    </row>
    <row r="82" spans="3:8" ht="14.45" hidden="1" customHeight="1" outlineLevel="1">
      <c r="C82" s="258">
        <v>13</v>
      </c>
      <c r="D82" s="85"/>
      <c r="E82" s="86"/>
      <c r="F82" s="106" t="str">
        <f t="shared" si="3"/>
        <v/>
      </c>
    </row>
    <row r="83" spans="3:8" ht="14.45" hidden="1" customHeight="1" outlineLevel="1">
      <c r="C83" s="259">
        <v>14</v>
      </c>
      <c r="D83" s="85"/>
      <c r="E83" s="86"/>
      <c r="F83" s="106" t="str">
        <f t="shared" si="3"/>
        <v/>
      </c>
    </row>
    <row r="84" spans="3:8" ht="14.45" hidden="1" customHeight="1" outlineLevel="1">
      <c r="C84" s="258">
        <v>15</v>
      </c>
      <c r="D84" s="85"/>
      <c r="E84" s="86"/>
      <c r="F84" s="106" t="str">
        <f t="shared" si="3"/>
        <v/>
      </c>
    </row>
    <row r="85" spans="3:8" ht="14.45" hidden="1" customHeight="1" outlineLevel="1">
      <c r="C85" s="258">
        <v>16</v>
      </c>
      <c r="D85" s="85"/>
      <c r="E85" s="86"/>
      <c r="F85" s="106" t="str">
        <f t="shared" si="3"/>
        <v/>
      </c>
    </row>
    <row r="86" spans="3:8" ht="14.45" hidden="1" customHeight="1" outlineLevel="1">
      <c r="C86" s="259">
        <v>17</v>
      </c>
      <c r="D86" s="85"/>
      <c r="E86" s="86"/>
      <c r="F86" s="106" t="str">
        <f t="shared" si="3"/>
        <v/>
      </c>
    </row>
    <row r="87" spans="3:8" ht="14.45" hidden="1" customHeight="1" outlineLevel="1">
      <c r="C87" s="258">
        <v>18</v>
      </c>
      <c r="D87" s="85"/>
      <c r="E87" s="86"/>
      <c r="F87" s="106" t="str">
        <f t="shared" si="3"/>
        <v/>
      </c>
    </row>
    <row r="88" spans="3:8" ht="14.45" hidden="1" customHeight="1" outlineLevel="1">
      <c r="C88" s="258">
        <v>19</v>
      </c>
      <c r="D88" s="85"/>
      <c r="E88" s="86"/>
      <c r="F88" s="106" t="str">
        <f t="shared" si="3"/>
        <v/>
      </c>
    </row>
    <row r="89" spans="3:8" ht="14.45" hidden="1" customHeight="1" outlineLevel="1">
      <c r="C89" s="259">
        <v>20</v>
      </c>
      <c r="D89" s="85"/>
      <c r="E89" s="86"/>
      <c r="F89" s="106" t="str">
        <f t="shared" si="3"/>
        <v/>
      </c>
    </row>
    <row r="90" spans="3:8" ht="14.45" hidden="1" customHeight="1" outlineLevel="1">
      <c r="C90" s="258">
        <v>21</v>
      </c>
      <c r="D90" s="85"/>
      <c r="E90" s="86"/>
      <c r="F90" s="106" t="str">
        <f t="shared" si="3"/>
        <v/>
      </c>
    </row>
    <row r="91" spans="3:8" ht="14.45" hidden="1" customHeight="1" outlineLevel="1">
      <c r="C91" s="258">
        <v>22</v>
      </c>
      <c r="D91" s="85"/>
      <c r="E91" s="86"/>
      <c r="F91" s="106" t="str">
        <f t="shared" si="3"/>
        <v/>
      </c>
    </row>
    <row r="92" spans="3:8" ht="14.45" hidden="1" customHeight="1" outlineLevel="1">
      <c r="C92" s="259">
        <v>23</v>
      </c>
      <c r="D92" s="85"/>
      <c r="E92" s="86"/>
      <c r="F92" s="106" t="str">
        <f t="shared" si="3"/>
        <v/>
      </c>
    </row>
    <row r="93" spans="3:8" ht="14.45" hidden="1" customHeight="1" outlineLevel="1">
      <c r="C93" s="258">
        <v>24</v>
      </c>
      <c r="D93" s="85"/>
      <c r="E93" s="86"/>
      <c r="F93" s="106" t="str">
        <f t="shared" si="3"/>
        <v/>
      </c>
    </row>
    <row r="94" spans="3:8" ht="14.45" hidden="1" customHeight="1" outlineLevel="1" thickBot="1">
      <c r="C94" s="260">
        <v>25</v>
      </c>
      <c r="D94" s="87"/>
      <c r="E94" s="82"/>
      <c r="F94" s="106" t="str">
        <f t="shared" si="3"/>
        <v/>
      </c>
    </row>
    <row r="95" spans="3:8" ht="15" collapsed="1" thickBot="1"/>
    <row r="96" spans="3:8" ht="14.45" customHeight="1">
      <c r="C96" s="520" t="str">
        <f xml:space="preserve"> "B1 - Disclosure of sustainability-related certification(s) or label(s) " &amp; template_reporting_period_display &amp; " [If applicable]"</f>
        <v>B1 - Disclosure of sustainability-related certification(s) or label(s) from 2024-01-01 to 2024-12-31 [If applicable]</v>
      </c>
      <c r="D96" s="521"/>
      <c r="E96" s="521"/>
      <c r="F96" s="521"/>
      <c r="G96" s="521"/>
      <c r="H96" s="522"/>
    </row>
    <row r="97" spans="3:13" ht="14.45" customHeight="1">
      <c r="C97" s="515">
        <v>25</v>
      </c>
      <c r="D97" s="516"/>
      <c r="E97" s="516"/>
      <c r="F97" s="516"/>
      <c r="G97" s="516"/>
      <c r="H97" s="517"/>
    </row>
    <row r="98" spans="3:13" ht="14.45" customHeight="1">
      <c r="C98" s="523">
        <v>77</v>
      </c>
      <c r="D98" s="524"/>
      <c r="E98" s="524"/>
      <c r="F98" s="524"/>
      <c r="G98" s="524"/>
      <c r="H98" s="525"/>
    </row>
    <row r="99" spans="3:13" ht="14.45" customHeight="1">
      <c r="C99" s="507" t="s">
        <v>3833</v>
      </c>
      <c r="D99" s="508"/>
      <c r="E99" s="509" t="b">
        <v>0</v>
      </c>
      <c r="F99" s="510"/>
      <c r="G99" s="510"/>
      <c r="H99" s="511"/>
    </row>
    <row r="100" spans="3:13" ht="30" customHeight="1" thickBot="1">
      <c r="C100" s="529" t="s">
        <v>10</v>
      </c>
      <c r="D100" s="530"/>
      <c r="E100" s="596"/>
      <c r="F100" s="597"/>
      <c r="G100" s="597"/>
      <c r="H100" s="598"/>
      <c r="I100" s="16" t="str">
        <f>IF(AND(E99=TRUE,E100=""), "MISSING VALUE",IF(AND(E99=TRUE,E100&lt;&gt;""), "OK",""))</f>
        <v/>
      </c>
    </row>
    <row r="101" spans="3:13" ht="15" thickBot="1"/>
    <row r="102" spans="3:13" ht="15">
      <c r="C102" s="500" t="str">
        <f xml:space="preserve"> "B1 - List of site(s) " &amp; template_reporting_period_display &amp; " [Always to be reported]"</f>
        <v>B1 - List of site(s) from 2024-01-01 to 2024-12-31 [Always to be reported]</v>
      </c>
      <c r="D102" s="501"/>
      <c r="E102" s="501"/>
      <c r="F102" s="501"/>
      <c r="G102" s="501"/>
      <c r="H102" s="502"/>
    </row>
    <row r="103" spans="3:13">
      <c r="C103" s="515" t="s">
        <v>4577</v>
      </c>
      <c r="D103" s="516"/>
      <c r="E103" s="516"/>
      <c r="F103" s="516"/>
      <c r="G103" s="516"/>
      <c r="H103" s="517"/>
    </row>
    <row r="104" spans="3:13">
      <c r="C104" s="512" t="s">
        <v>4574</v>
      </c>
      <c r="D104" s="513"/>
      <c r="E104" s="513"/>
      <c r="F104" s="513"/>
      <c r="G104" s="513"/>
      <c r="H104" s="514"/>
    </row>
    <row r="105" spans="3:13">
      <c r="C105" s="607" t="s">
        <v>8</v>
      </c>
      <c r="D105" s="610" t="s">
        <v>11</v>
      </c>
      <c r="E105" s="610" t="s">
        <v>12</v>
      </c>
      <c r="F105" s="603" t="s">
        <v>13</v>
      </c>
      <c r="G105" s="610" t="s">
        <v>14</v>
      </c>
      <c r="H105" s="242" t="s">
        <v>3640</v>
      </c>
      <c r="I105" s="116"/>
    </row>
    <row r="106" spans="3:13" ht="141.6" customHeight="1">
      <c r="C106" s="608"/>
      <c r="D106" s="611"/>
      <c r="E106" s="611"/>
      <c r="F106" s="613"/>
      <c r="G106" s="611"/>
      <c r="H106" s="243" t="s">
        <v>4362</v>
      </c>
      <c r="I106" s="116"/>
      <c r="J106" s="2"/>
    </row>
    <row r="107" spans="3:13">
      <c r="C107" s="609"/>
      <c r="D107" s="612"/>
      <c r="E107" s="612"/>
      <c r="F107" s="604"/>
      <c r="G107" s="612"/>
      <c r="H107" s="439" t="b">
        <v>1</v>
      </c>
      <c r="I107" s="116"/>
    </row>
    <row r="108" spans="3:13" ht="15">
      <c r="C108" s="258">
        <v>1</v>
      </c>
      <c r="D108" s="88" t="s">
        <v>4827</v>
      </c>
      <c r="E108" s="89" t="s">
        <v>4828</v>
      </c>
      <c r="F108" s="90" t="s">
        <v>4829</v>
      </c>
      <c r="G108" s="88" t="s">
        <v>294</v>
      </c>
      <c r="H108" s="233" t="s">
        <v>4830</v>
      </c>
      <c r="I108" s="17" t="str">
        <f>IF(OR(E32="Option A (Basic Module only)", E32="Option B (Basic Module and Comprehensive Module)"),
    IF(AND(D108&lt;&gt;"", E108&lt;&gt;"", F108&lt;&gt;"", G108&lt;&gt;"", H108&lt;&gt;""),
        "OK",
        "MISSING VALUE"
    ),
    ""
)</f>
        <v>OK</v>
      </c>
      <c r="J108" s="241" t="str">
        <f>IF(AND(D108&lt;&gt;"", E108&lt;&gt;"", F108&lt;&gt;"", G108&lt;&gt;""),
    IFERROR(HYPERLINK("https://www.openstreetmap.org/search?lat=" &amp; 'Technical Sheet'!E2 &amp; "&amp;lon=" &amp; 'Technical Sheet'!F2, "OpenStreetMap Link"),
    ""),
"")</f>
        <v>OpenStreetMap Link</v>
      </c>
      <c r="K108" s="117" t="str">
        <f t="shared" ref="K108:K132" si="4">LOWER(SUBSTITUTE(D108," ","+" )) &amp; "+" &amp; LOWER(SUBSTITUTE(E108," ","+" )) &amp; "+" &amp; LOWER(SUBSTITUTE(F108," ","+" )) &amp; "+" &amp; LOWER(SUBSTITUTE(G108," ","+" )) &amp; "+"</f>
        <v>mondscheinweg+10+83671+benediktbeuern+germany+</v>
      </c>
      <c r="M108" s="109"/>
    </row>
    <row r="109" spans="3:13" ht="15">
      <c r="C109" s="259">
        <v>2</v>
      </c>
      <c r="D109" s="91"/>
      <c r="E109" s="92"/>
      <c r="F109" s="93"/>
      <c r="G109" s="88"/>
      <c r="H109" s="233" t="str">
        <f>IF(COUNTA(D109:G109)=COLUMNS(D109:G109), IFERROR('Technical Sheet'!G3, "-"), "-")</f>
        <v>-</v>
      </c>
      <c r="I109" s="17" t="str">
        <f>IF(AND(D109&lt;&gt;"", E109&lt;&gt;"", F109&lt;&gt;"", G109&lt;&gt;"", H109&lt;&gt;""), "OK",
    IF(AND(D109="", E109="", F109="", G109="", H109="-"), "",
        "MISSING VALUE"
    )
)</f>
        <v/>
      </c>
      <c r="J109" s="241" t="str">
        <f>IF(AND(D109&lt;&gt;"", E109&lt;&gt;"", F109&lt;&gt;"", G109&lt;&gt;""),
    IFERROR(HYPERLINK("https://www.openstreetmap.org/search?lat=" &amp; 'Technical Sheet'!E3 &amp; "&amp;lon=" &amp; 'Technical Sheet'!F3, "OpenStreetMap Link"),
    ""),
"")</f>
        <v/>
      </c>
      <c r="K109" s="117" t="str">
        <f>LOWER(SUBSTITUTE(D109," ","+" )) &amp; "+" &amp; LOWER(SUBSTITUTE(E109," ","+" )) &amp; "+" &amp; LOWER(SUBSTITUTE(F109," ","+" )) &amp; "+" &amp; LOWER(SUBSTITUTE(G109," ","+" )) &amp; "+"</f>
        <v>++++</v>
      </c>
    </row>
    <row r="110" spans="3:13" ht="15.75" thickBot="1">
      <c r="C110" s="260">
        <v>3</v>
      </c>
      <c r="D110" s="94"/>
      <c r="E110" s="95"/>
      <c r="F110" s="96"/>
      <c r="G110" s="94"/>
      <c r="H110" s="234" t="str">
        <f>IF(COUNTA(D110:G110)=COLUMNS(D110:G110), IFERROR('Technical Sheet'!G4, "-"), "-")</f>
        <v>-</v>
      </c>
      <c r="I110" s="17" t="str">
        <f>IF(AND(D110&lt;&gt;"", E110&lt;&gt;"", F110&lt;&gt;"", G110&lt;&gt;"", H110&lt;&gt;""), "OK",
    IF(AND(D110="", E110="", F110="", G110="", H110="-"), "",
        "MISSING VALUE"
    )
)</f>
        <v/>
      </c>
      <c r="J110" s="241" t="str">
        <f>IF(AND(D110&lt;&gt;"", E110&lt;&gt;"", F110&lt;&gt;"", G110&lt;&gt;""),
    IFERROR(HYPERLINK("https://www.openstreetmap.org/search?lat=" &amp; 'Technical Sheet'!E4 &amp; "&amp;lon=" &amp; 'Technical Sheet'!F4, "OpenStreetMap Link"),
    ""),
"")</f>
        <v/>
      </c>
      <c r="K110" s="117" t="str">
        <f>LOWER(SUBSTITUTE(D110," ","+" )) &amp; "+" &amp; LOWER(SUBSTITUTE(E110," ","+" )) &amp; "+" &amp; LOWER(SUBSTITUTE(F110," ","+" )) &amp; "+" &amp; LOWER(SUBSTITUTE(G110," ","+" )) &amp; "+"</f>
        <v>++++</v>
      </c>
    </row>
    <row r="111" spans="3:13" ht="15" hidden="1" outlineLevel="1">
      <c r="C111" s="259">
        <v>4</v>
      </c>
      <c r="D111" s="91"/>
      <c r="E111" s="92"/>
      <c r="F111" s="93"/>
      <c r="G111" s="91"/>
      <c r="H111" s="235" t="str">
        <f>IF(COUNTA(D111:G111)=COLUMNS(D111:G111), IFERROR('Technical Sheet'!G5, "-"), "-")</f>
        <v>-</v>
      </c>
      <c r="I111" s="17" t="str">
        <f t="shared" ref="I111:I132" si="5">IF(AND(D111&lt;&gt;"", E111&lt;&gt;"", F111&lt;&gt;"", G111&lt;&gt;"", H111&lt;&gt;""), "OK",
    IF(AND(D111="", E111="", F111="", G111="", H111="-"), "",
        "MISSING VALUE"
    )
)</f>
        <v/>
      </c>
      <c r="J111" s="241" t="str">
        <f>IF(AND(D111&lt;&gt;"", E111&lt;&gt;"", F111&lt;&gt;"", G111&lt;&gt;""),
    IFERROR(HYPERLINK("https://www.openstreetmap.org/search?lat=" &amp; 'Technical Sheet'!E5 &amp; "&amp;lon=" &amp; 'Technical Sheet'!F5, "OpenStreetMap Link"),
    ""),
"")</f>
        <v/>
      </c>
      <c r="K111" s="117" t="str">
        <f t="shared" si="4"/>
        <v>++++</v>
      </c>
    </row>
    <row r="112" spans="3:13" ht="15" hidden="1" outlineLevel="1">
      <c r="C112" s="259">
        <v>5</v>
      </c>
      <c r="D112" s="88"/>
      <c r="E112" s="89"/>
      <c r="F112" s="90"/>
      <c r="G112" s="88"/>
      <c r="H112" s="233" t="str">
        <f>IF(COUNTA(D112:G112)=COLUMNS(D112:G112), IFERROR('Technical Sheet'!G6, "-"), "-")</f>
        <v>-</v>
      </c>
      <c r="I112" s="17" t="str">
        <f t="shared" si="5"/>
        <v/>
      </c>
      <c r="J112" s="241" t="str">
        <f>IF(AND(D112&lt;&gt;"", E112&lt;&gt;"", F112&lt;&gt;"", G112&lt;&gt;""),
    IFERROR(HYPERLINK("https://www.openstreetmap.org/search?lat=" &amp; 'Technical Sheet'!E6 &amp; "&amp;lon=" &amp; 'Technical Sheet'!F6, "OpenStreetMap Link"),
    ""),
"")</f>
        <v/>
      </c>
      <c r="K112" s="117" t="str">
        <f t="shared" si="4"/>
        <v>++++</v>
      </c>
    </row>
    <row r="113" spans="3:11" ht="15" hidden="1" outlineLevel="1">
      <c r="C113" s="258">
        <v>6</v>
      </c>
      <c r="D113" s="88"/>
      <c r="E113" s="89"/>
      <c r="F113" s="90"/>
      <c r="G113" s="88"/>
      <c r="H113" s="233" t="str">
        <f>IF(COUNTA(D113:G113)=COLUMNS(D113:G113), IFERROR('Technical Sheet'!G7, "-"), "-")</f>
        <v>-</v>
      </c>
      <c r="I113" s="17" t="str">
        <f t="shared" si="5"/>
        <v/>
      </c>
      <c r="J113" s="241" t="str">
        <f>IF(AND(D113&lt;&gt;"", E113&lt;&gt;"", F113&lt;&gt;"", G113&lt;&gt;""),
    IFERROR(HYPERLINK("https://www.openstreetmap.org/search?lat=" &amp; 'Technical Sheet'!E7 &amp; "&amp;lon=" &amp; 'Technical Sheet'!F7, "OpenStreetMap Link"),
    ""),
"")</f>
        <v/>
      </c>
      <c r="K113" s="117" t="str">
        <f t="shared" si="4"/>
        <v>++++</v>
      </c>
    </row>
    <row r="114" spans="3:11" ht="15" hidden="1" outlineLevel="1">
      <c r="C114" s="258">
        <v>7</v>
      </c>
      <c r="D114" s="88"/>
      <c r="E114" s="89"/>
      <c r="F114" s="90"/>
      <c r="G114" s="88"/>
      <c r="H114" s="233" t="str">
        <f>IF(COUNTA(D114:G114)=COLUMNS(D114:G114), IFERROR('Technical Sheet'!G8, "-"), "-")</f>
        <v>-</v>
      </c>
      <c r="I114" s="17" t="str">
        <f t="shared" si="5"/>
        <v/>
      </c>
      <c r="J114" s="241" t="str">
        <f>IF(AND(D114&lt;&gt;"", E114&lt;&gt;"", F114&lt;&gt;"", G114&lt;&gt;""),
    IFERROR(HYPERLINK("https://www.openstreetmap.org/search?lat=" &amp; 'Technical Sheet'!E8 &amp; "&amp;lon=" &amp; 'Technical Sheet'!F8, "OpenStreetMap Link"),
    ""),
"")</f>
        <v/>
      </c>
      <c r="K114" s="117" t="str">
        <f t="shared" si="4"/>
        <v>++++</v>
      </c>
    </row>
    <row r="115" spans="3:11" ht="15" hidden="1" outlineLevel="1">
      <c r="C115" s="259">
        <v>8</v>
      </c>
      <c r="D115" s="88"/>
      <c r="E115" s="89"/>
      <c r="F115" s="90"/>
      <c r="G115" s="88"/>
      <c r="H115" s="233" t="str">
        <f>IF(COUNTA(D115:G115)=COLUMNS(D115:G115), IFERROR('Technical Sheet'!G9, "-"), "-")</f>
        <v>-</v>
      </c>
      <c r="I115" s="17" t="str">
        <f t="shared" si="5"/>
        <v/>
      </c>
      <c r="J115" s="241" t="str">
        <f>IF(AND(D115&lt;&gt;"", E115&lt;&gt;"", F115&lt;&gt;"", G115&lt;&gt;""),
    IFERROR(HYPERLINK("https://www.openstreetmap.org/search?lat=" &amp; 'Technical Sheet'!E9 &amp; "&amp;lon=" &amp; 'Technical Sheet'!F9, "OpenStreetMap Link"),
    ""),
"")</f>
        <v/>
      </c>
      <c r="K115" s="117" t="str">
        <f t="shared" si="4"/>
        <v>++++</v>
      </c>
    </row>
    <row r="116" spans="3:11" ht="15" hidden="1" outlineLevel="1">
      <c r="C116" s="258">
        <v>9</v>
      </c>
      <c r="D116" s="88"/>
      <c r="E116" s="89"/>
      <c r="F116" s="90"/>
      <c r="G116" s="88"/>
      <c r="H116" s="233" t="str">
        <f>IF(COUNTA(D116:G116)=COLUMNS(D116:G116), IFERROR('Technical Sheet'!G10, "-"), "-")</f>
        <v>-</v>
      </c>
      <c r="I116" s="17" t="str">
        <f t="shared" si="5"/>
        <v/>
      </c>
      <c r="J116" s="241" t="str">
        <f>IF(AND(D116&lt;&gt;"", E116&lt;&gt;"", F116&lt;&gt;"", G116&lt;&gt;""),
    IFERROR(HYPERLINK("https://www.openstreetmap.org/search?lat=" &amp; 'Technical Sheet'!E10 &amp; "&amp;lon=" &amp; 'Technical Sheet'!F10, "OpenStreetMap Link"),
    ""),
"")</f>
        <v/>
      </c>
      <c r="K116" s="117" t="str">
        <f t="shared" si="4"/>
        <v>++++</v>
      </c>
    </row>
    <row r="117" spans="3:11" ht="15" hidden="1" outlineLevel="1">
      <c r="C117" s="258">
        <v>10</v>
      </c>
      <c r="D117" s="88"/>
      <c r="E117" s="89"/>
      <c r="F117" s="90"/>
      <c r="G117" s="88"/>
      <c r="H117" s="233" t="str">
        <f>IF(COUNTA(D117:G117)=COLUMNS(D117:G117), IFERROR('Technical Sheet'!G11, "-"), "-")</f>
        <v>-</v>
      </c>
      <c r="I117" s="17" t="str">
        <f t="shared" si="5"/>
        <v/>
      </c>
      <c r="J117" s="241" t="str">
        <f>IF(AND(D117&lt;&gt;"", E117&lt;&gt;"", F117&lt;&gt;"", G117&lt;&gt;""),
    IFERROR(HYPERLINK("https://www.openstreetmap.org/search?lat=" &amp; 'Technical Sheet'!E11 &amp; "&amp;lon=" &amp; 'Technical Sheet'!F11, "OpenStreetMap Link"),
    ""),
"")</f>
        <v/>
      </c>
      <c r="K117" s="117" t="str">
        <f t="shared" si="4"/>
        <v>++++</v>
      </c>
    </row>
    <row r="118" spans="3:11" ht="15" hidden="1" outlineLevel="1">
      <c r="C118" s="259">
        <v>11</v>
      </c>
      <c r="D118" s="88"/>
      <c r="E118" s="89"/>
      <c r="F118" s="90"/>
      <c r="G118" s="88"/>
      <c r="H118" s="233" t="str">
        <f>IF(COUNTA(D118:G118)=COLUMNS(D118:G118), IFERROR('Technical Sheet'!G12, "-"), "-")</f>
        <v>-</v>
      </c>
      <c r="I118" s="17" t="str">
        <f t="shared" si="5"/>
        <v/>
      </c>
      <c r="J118" s="241" t="str">
        <f>IF(AND(D118&lt;&gt;"", E118&lt;&gt;"", F118&lt;&gt;"", G118&lt;&gt;""),
    IFERROR(HYPERLINK("https://www.openstreetmap.org/search?lat=" &amp; 'Technical Sheet'!E12 &amp; "&amp;lon=" &amp; 'Technical Sheet'!F12, "OpenStreetMap Link"),
    ""),
"")</f>
        <v/>
      </c>
      <c r="K118" s="117" t="str">
        <f t="shared" si="4"/>
        <v>++++</v>
      </c>
    </row>
    <row r="119" spans="3:11" ht="15" hidden="1" outlineLevel="1">
      <c r="C119" s="258">
        <v>12</v>
      </c>
      <c r="D119" s="88"/>
      <c r="E119" s="89"/>
      <c r="F119" s="90"/>
      <c r="G119" s="88"/>
      <c r="H119" s="233" t="str">
        <f>IF(COUNTA(D119:G119)=COLUMNS(D119:G119), IFERROR('Technical Sheet'!G13, "-"), "-")</f>
        <v>-</v>
      </c>
      <c r="I119" s="17" t="str">
        <f t="shared" si="5"/>
        <v/>
      </c>
      <c r="J119" s="241" t="str">
        <f>IF(AND(D119&lt;&gt;"", E119&lt;&gt;"", F119&lt;&gt;"", G119&lt;&gt;""),
    IFERROR(HYPERLINK("https://www.openstreetmap.org/search?lat=" &amp; 'Technical Sheet'!E13 &amp; "&amp;lon=" &amp; 'Technical Sheet'!F13, "OpenStreetMap Link"),
    ""),
"")</f>
        <v/>
      </c>
      <c r="K119" s="117" t="str">
        <f t="shared" si="4"/>
        <v>++++</v>
      </c>
    </row>
    <row r="120" spans="3:11" ht="15" hidden="1" outlineLevel="1">
      <c r="C120" s="258">
        <v>13</v>
      </c>
      <c r="D120" s="88"/>
      <c r="E120" s="89"/>
      <c r="F120" s="90"/>
      <c r="G120" s="88"/>
      <c r="H120" s="233" t="str">
        <f>IF(COUNTA(D120:G120)=COLUMNS(D120:G120), IFERROR('Technical Sheet'!G14, "-"), "-")</f>
        <v>-</v>
      </c>
      <c r="I120" s="17" t="str">
        <f t="shared" si="5"/>
        <v/>
      </c>
      <c r="J120" s="241" t="str">
        <f>IF(AND(D120&lt;&gt;"", E120&lt;&gt;"", F120&lt;&gt;"", G120&lt;&gt;""),
    IFERROR(HYPERLINK("https://www.openstreetmap.org/search?lat=" &amp; 'Technical Sheet'!E14 &amp; "&amp;lon=" &amp; 'Technical Sheet'!F14, "OpenStreetMap Link"),
    ""),
"")</f>
        <v/>
      </c>
      <c r="K120" s="117" t="str">
        <f t="shared" si="4"/>
        <v>++++</v>
      </c>
    </row>
    <row r="121" spans="3:11" ht="15" hidden="1" outlineLevel="1">
      <c r="C121" s="259">
        <v>14</v>
      </c>
      <c r="D121" s="88"/>
      <c r="E121" s="89"/>
      <c r="F121" s="90"/>
      <c r="G121" s="88"/>
      <c r="H121" s="233" t="str">
        <f>IF(COUNTA(D121:G121)=COLUMNS(D121:G121), IFERROR('Technical Sheet'!G15, "-"), "-")</f>
        <v>-</v>
      </c>
      <c r="I121" s="17" t="str">
        <f t="shared" si="5"/>
        <v/>
      </c>
      <c r="J121" s="241" t="str">
        <f>IF(AND(D121&lt;&gt;"", E121&lt;&gt;"", F121&lt;&gt;"", G121&lt;&gt;""),
    IFERROR(HYPERLINK("https://www.openstreetmap.org/search?lat=" &amp; 'Technical Sheet'!E15 &amp; "&amp;lon=" &amp; 'Technical Sheet'!F15, "OpenStreetMap Link"),
    ""),
"")</f>
        <v/>
      </c>
      <c r="K121" s="117" t="str">
        <f t="shared" si="4"/>
        <v>++++</v>
      </c>
    </row>
    <row r="122" spans="3:11" ht="15" hidden="1" outlineLevel="1">
      <c r="C122" s="258">
        <v>15</v>
      </c>
      <c r="D122" s="88"/>
      <c r="E122" s="89"/>
      <c r="F122" s="90"/>
      <c r="G122" s="88"/>
      <c r="H122" s="233" t="str">
        <f>IF(COUNTA(D122:G122)=COLUMNS(D122:G122), IFERROR('Technical Sheet'!G16, "-"), "-")</f>
        <v>-</v>
      </c>
      <c r="I122" s="17" t="str">
        <f t="shared" si="5"/>
        <v/>
      </c>
      <c r="J122" s="241" t="str">
        <f>IF(AND(D122&lt;&gt;"", E122&lt;&gt;"", F122&lt;&gt;"", G122&lt;&gt;""),
    IFERROR(HYPERLINK("https://www.openstreetmap.org/search?lat=" &amp; 'Technical Sheet'!E16 &amp; "&amp;lon=" &amp; 'Technical Sheet'!F16, "OpenStreetMap Link"),
    ""),
"")</f>
        <v/>
      </c>
      <c r="K122" s="117" t="str">
        <f t="shared" si="4"/>
        <v>++++</v>
      </c>
    </row>
    <row r="123" spans="3:11" ht="15" hidden="1" outlineLevel="1">
      <c r="C123" s="258">
        <v>16</v>
      </c>
      <c r="D123" s="88"/>
      <c r="E123" s="89"/>
      <c r="F123" s="90"/>
      <c r="G123" s="88"/>
      <c r="H123" s="233" t="str">
        <f>IF(COUNTA(D123:G123)=COLUMNS(D123:G123), IFERROR('Technical Sheet'!G17, "-"), "-")</f>
        <v>-</v>
      </c>
      <c r="I123" s="17" t="str">
        <f t="shared" si="5"/>
        <v/>
      </c>
      <c r="J123" s="241" t="str">
        <f>IF(AND(D123&lt;&gt;"", E123&lt;&gt;"", F123&lt;&gt;"", G123&lt;&gt;""),
    IFERROR(HYPERLINK("https://www.openstreetmap.org/search?lat=" &amp; 'Technical Sheet'!E17 &amp; "&amp;lon=" &amp; 'Technical Sheet'!F17, "OpenStreetMap Link"),
    ""),
"")</f>
        <v/>
      </c>
      <c r="K123" s="117" t="str">
        <f t="shared" si="4"/>
        <v>++++</v>
      </c>
    </row>
    <row r="124" spans="3:11" ht="15" hidden="1" outlineLevel="1">
      <c r="C124" s="259">
        <v>17</v>
      </c>
      <c r="D124" s="88"/>
      <c r="E124" s="89"/>
      <c r="F124" s="90"/>
      <c r="G124" s="88"/>
      <c r="H124" s="233" t="str">
        <f>IF(COUNTA(D124:G124)=COLUMNS(D124:G124), IFERROR('Technical Sheet'!G18, "-"), "-")</f>
        <v>-</v>
      </c>
      <c r="I124" s="17" t="str">
        <f t="shared" si="5"/>
        <v/>
      </c>
      <c r="J124" s="241" t="str">
        <f>IF(AND(D124&lt;&gt;"", E124&lt;&gt;"", F124&lt;&gt;"", G124&lt;&gt;""),
    IFERROR(HYPERLINK("https://www.openstreetmap.org/search?lat=" &amp; 'Technical Sheet'!E18 &amp; "&amp;lon=" &amp; 'Technical Sheet'!F18, "OpenStreetMap Link"),
    ""),
"")</f>
        <v/>
      </c>
      <c r="K124" s="117" t="str">
        <f t="shared" si="4"/>
        <v>++++</v>
      </c>
    </row>
    <row r="125" spans="3:11" ht="15" hidden="1" outlineLevel="1">
      <c r="C125" s="258">
        <v>18</v>
      </c>
      <c r="D125" s="88"/>
      <c r="E125" s="89"/>
      <c r="F125" s="90"/>
      <c r="G125" s="88"/>
      <c r="H125" s="233" t="str">
        <f>IF(COUNTA(D125:G125)=COLUMNS(D125:G125), IFERROR('Technical Sheet'!G19, "-"), "-")</f>
        <v>-</v>
      </c>
      <c r="I125" s="17" t="str">
        <f t="shared" si="5"/>
        <v/>
      </c>
      <c r="J125" s="241" t="str">
        <f>IF(AND(D125&lt;&gt;"", E125&lt;&gt;"", F125&lt;&gt;"", G125&lt;&gt;""),
    IFERROR(HYPERLINK("https://www.openstreetmap.org/search?lat=" &amp; 'Technical Sheet'!E19 &amp; "&amp;lon=" &amp; 'Technical Sheet'!F19, "OpenStreetMap Link"),
    ""),
"")</f>
        <v/>
      </c>
      <c r="K125" s="117" t="str">
        <f t="shared" si="4"/>
        <v>++++</v>
      </c>
    </row>
    <row r="126" spans="3:11" ht="15" hidden="1" outlineLevel="1">
      <c r="C126" s="258">
        <v>19</v>
      </c>
      <c r="D126" s="88"/>
      <c r="E126" s="89"/>
      <c r="F126" s="90"/>
      <c r="G126" s="88"/>
      <c r="H126" s="233" t="str">
        <f>IF(COUNTA(D126:G126)=COLUMNS(D126:G126), IFERROR('Technical Sheet'!G20, "-"), "-")</f>
        <v>-</v>
      </c>
      <c r="I126" s="17" t="str">
        <f t="shared" si="5"/>
        <v/>
      </c>
      <c r="J126" s="241" t="str">
        <f>IF(AND(D126&lt;&gt;"", E126&lt;&gt;"", F126&lt;&gt;"", G126&lt;&gt;""),
    IFERROR(HYPERLINK("https://www.openstreetmap.org/search?lat=" &amp; 'Technical Sheet'!E20 &amp; "&amp;lon=" &amp; 'Technical Sheet'!F20, "OpenStreetMap Link"),
    ""),
"")</f>
        <v/>
      </c>
      <c r="K126" s="117" t="str">
        <f t="shared" si="4"/>
        <v>++++</v>
      </c>
    </row>
    <row r="127" spans="3:11" ht="15" hidden="1" outlineLevel="1">
      <c r="C127" s="259">
        <v>20</v>
      </c>
      <c r="D127" s="88"/>
      <c r="E127" s="89"/>
      <c r="F127" s="90"/>
      <c r="G127" s="88"/>
      <c r="H127" s="233" t="str">
        <f>IF(COUNTA(D127:G127)=COLUMNS(D127:G127), IFERROR('Technical Sheet'!G21, "-"), "-")</f>
        <v>-</v>
      </c>
      <c r="I127" s="17" t="str">
        <f t="shared" si="5"/>
        <v/>
      </c>
      <c r="J127" s="241" t="str">
        <f>IF(AND(D127&lt;&gt;"", E127&lt;&gt;"", F127&lt;&gt;"", G127&lt;&gt;""),
    IFERROR(HYPERLINK("https://www.openstreetmap.org/search?lat=" &amp; 'Technical Sheet'!E21 &amp; "&amp;lon=" &amp; 'Technical Sheet'!F21, "OpenStreetMap Link"),
    ""),
"")</f>
        <v/>
      </c>
      <c r="K127" s="117" t="str">
        <f t="shared" si="4"/>
        <v>++++</v>
      </c>
    </row>
    <row r="128" spans="3:11" ht="15" hidden="1" outlineLevel="1">
      <c r="C128" s="258">
        <v>21</v>
      </c>
      <c r="D128" s="88"/>
      <c r="E128" s="89"/>
      <c r="F128" s="90"/>
      <c r="G128" s="88"/>
      <c r="H128" s="233" t="str">
        <f>IF(COUNTA(D128:G128)=COLUMNS(D128:G128), IFERROR('Technical Sheet'!G22, "-"), "-")</f>
        <v>-</v>
      </c>
      <c r="I128" s="17" t="str">
        <f t="shared" si="5"/>
        <v/>
      </c>
      <c r="J128" s="241" t="str">
        <f>IF(AND(D128&lt;&gt;"", E128&lt;&gt;"", F128&lt;&gt;"", G128&lt;&gt;""),
    IFERROR(HYPERLINK("https://www.openstreetmap.org/search?lat=" &amp; 'Technical Sheet'!E22 &amp; "&amp;lon=" &amp; 'Technical Sheet'!F22, "OpenStreetMap Link"),
    ""),
"")</f>
        <v/>
      </c>
      <c r="K128" s="117" t="str">
        <f t="shared" si="4"/>
        <v>++++</v>
      </c>
    </row>
    <row r="129" spans="3:17" ht="15" hidden="1" outlineLevel="1">
      <c r="C129" s="258">
        <v>22</v>
      </c>
      <c r="D129" s="88"/>
      <c r="E129" s="89"/>
      <c r="F129" s="90"/>
      <c r="G129" s="88"/>
      <c r="H129" s="233" t="str">
        <f>IF(COUNTA(D129:G129)=COLUMNS(D129:G129), IFERROR('Technical Sheet'!G23, "-"), "-")</f>
        <v>-</v>
      </c>
      <c r="I129" s="17" t="str">
        <f t="shared" si="5"/>
        <v/>
      </c>
      <c r="J129" s="241" t="str">
        <f>IF(AND(D129&lt;&gt;"", E129&lt;&gt;"", F129&lt;&gt;"", G129&lt;&gt;""),
    IFERROR(HYPERLINK("https://www.openstreetmap.org/search?lat=" &amp; 'Technical Sheet'!E23 &amp; "&amp;lon=" &amp; 'Technical Sheet'!F23, "OpenStreetMap Link"),
    ""),
"")</f>
        <v/>
      </c>
      <c r="K129" s="117" t="str">
        <f t="shared" si="4"/>
        <v>++++</v>
      </c>
    </row>
    <row r="130" spans="3:17" ht="15" hidden="1" outlineLevel="1">
      <c r="C130" s="259">
        <v>23</v>
      </c>
      <c r="D130" s="88"/>
      <c r="E130" s="89"/>
      <c r="F130" s="90"/>
      <c r="G130" s="88"/>
      <c r="H130" s="233" t="str">
        <f>IF(COUNTA(D130:G130)=COLUMNS(D130:G130), IFERROR('Technical Sheet'!G24, "-"), "-")</f>
        <v>-</v>
      </c>
      <c r="I130" s="17" t="str">
        <f t="shared" si="5"/>
        <v/>
      </c>
      <c r="J130" s="241" t="str">
        <f>IF(AND(D130&lt;&gt;"", E130&lt;&gt;"", F130&lt;&gt;"", G130&lt;&gt;""),
    IFERROR(HYPERLINK("https://www.openstreetmap.org/search?lat=" &amp; 'Technical Sheet'!E24 &amp; "&amp;lon=" &amp; 'Technical Sheet'!F24, "OpenStreetMap Link"),
    ""),
"")</f>
        <v/>
      </c>
      <c r="K130" s="117" t="str">
        <f t="shared" si="4"/>
        <v>++++</v>
      </c>
    </row>
    <row r="131" spans="3:17" ht="15" hidden="1" outlineLevel="1">
      <c r="C131" s="442">
        <v>24</v>
      </c>
      <c r="D131" s="97"/>
      <c r="E131" s="98"/>
      <c r="F131" s="99"/>
      <c r="G131" s="97"/>
      <c r="H131" s="233" t="str">
        <f>IF(COUNTA(D131:G131)=COLUMNS(D131:G131), IFERROR('Technical Sheet'!G25, "-"), "-")</f>
        <v>-</v>
      </c>
      <c r="I131" s="17" t="str">
        <f t="shared" si="5"/>
        <v/>
      </c>
      <c r="J131" s="241" t="str">
        <f>IF(AND(D131&lt;&gt;"", E131&lt;&gt;"", F131&lt;&gt;"", G131&lt;&gt;""),
    IFERROR(HYPERLINK("https://www.openstreetmap.org/search?lat=" &amp; 'Technical Sheet'!E25 &amp; "&amp;lon=" &amp; 'Technical Sheet'!F25, "OpenStreetMap Link"),
    ""),
"")</f>
        <v/>
      </c>
      <c r="K131" s="117" t="str">
        <f t="shared" si="4"/>
        <v>++++</v>
      </c>
    </row>
    <row r="132" spans="3:17" ht="15.75" hidden="1" outlineLevel="1" thickBot="1">
      <c r="C132" s="260">
        <v>25</v>
      </c>
      <c r="D132" s="94"/>
      <c r="E132" s="95"/>
      <c r="F132" s="96"/>
      <c r="G132" s="94"/>
      <c r="H132" s="234" t="str">
        <f>IF(COUNTA(D132:G132)=COLUMNS(D132:G132), IFERROR('Technical Sheet'!G26, "-"), "-")</f>
        <v>-</v>
      </c>
      <c r="I132" s="17" t="str">
        <f t="shared" si="5"/>
        <v/>
      </c>
      <c r="J132" s="241" t="str">
        <f>IF(AND(D132&lt;&gt;"", E132&lt;&gt;"", F132&lt;&gt;"", G132&lt;&gt;""),
    IFERROR(HYPERLINK("https://www.openstreetmap.org/search?lat=" &amp; 'Technical Sheet'!E26 &amp; "&amp;lon=" &amp; 'Technical Sheet'!F26, "OpenStreetMap Link"),
    ""),
"")</f>
        <v/>
      </c>
      <c r="K132" s="117" t="str">
        <f t="shared" si="4"/>
        <v>++++</v>
      </c>
    </row>
    <row r="133" spans="3:17" ht="15" customHeight="1" collapsed="1" thickBot="1"/>
    <row r="134" spans="3:17" ht="38.1" customHeight="1">
      <c r="C134" s="599" t="str">
        <f xml:space="preserve"> "B2 – Practices, policies and future initiatives for transitioning towards a more sustainable economy " &amp; template_reporting_period_display &amp; " [If applicable]"</f>
        <v>B2 – Practices, policies and future initiatives for transitioning towards a more sustainable economy from 2024-01-01 to 2024-12-31 [If applicable]</v>
      </c>
      <c r="D134" s="600"/>
      <c r="E134" s="600"/>
      <c r="F134" s="600"/>
      <c r="G134" s="600"/>
      <c r="H134" s="600"/>
      <c r="I134" s="600"/>
      <c r="J134" s="600"/>
      <c r="K134" s="600"/>
      <c r="L134" s="600"/>
      <c r="M134" s="600"/>
      <c r="N134" s="600"/>
      <c r="O134" s="601"/>
    </row>
    <row r="135" spans="3:17" s="10" customFormat="1">
      <c r="C135" s="515" t="s">
        <v>4578</v>
      </c>
      <c r="D135" s="516"/>
      <c r="E135" s="516"/>
      <c r="F135" s="516"/>
      <c r="G135" s="516"/>
      <c r="H135" s="516"/>
      <c r="I135" s="516"/>
      <c r="J135" s="516"/>
      <c r="K135" s="516"/>
      <c r="L135" s="516"/>
      <c r="M135" s="516"/>
      <c r="N135" s="516"/>
      <c r="O135" s="517"/>
      <c r="P135"/>
      <c r="Q135"/>
    </row>
    <row r="136" spans="3:17">
      <c r="C136" s="512" t="s">
        <v>4579</v>
      </c>
      <c r="D136" s="513"/>
      <c r="E136" s="513"/>
      <c r="F136" s="513"/>
      <c r="G136" s="513"/>
      <c r="H136" s="513"/>
      <c r="I136" s="513"/>
      <c r="J136" s="513"/>
      <c r="K136" s="513"/>
      <c r="L136" s="513"/>
      <c r="M136" s="513"/>
      <c r="N136" s="513"/>
      <c r="O136" s="514"/>
    </row>
    <row r="137" spans="3:17">
      <c r="C137" s="505" t="s">
        <v>4651</v>
      </c>
      <c r="D137" s="602" t="s">
        <v>4357</v>
      </c>
      <c r="E137" s="602"/>
      <c r="F137" s="602"/>
      <c r="G137" s="602"/>
      <c r="H137" s="602"/>
      <c r="I137" s="602"/>
      <c r="J137" s="602"/>
      <c r="K137" s="602"/>
      <c r="L137" s="602"/>
      <c r="M137" s="602"/>
      <c r="N137" s="603" t="s">
        <v>4354</v>
      </c>
      <c r="O137" s="605" t="s">
        <v>4355</v>
      </c>
    </row>
    <row r="138" spans="3:17" ht="41.45" customHeight="1">
      <c r="C138" s="506"/>
      <c r="D138" s="105" t="s">
        <v>3305</v>
      </c>
      <c r="E138" s="105" t="s">
        <v>3306</v>
      </c>
      <c r="F138" s="105" t="s">
        <v>3307</v>
      </c>
      <c r="G138" s="105" t="s">
        <v>3308</v>
      </c>
      <c r="H138" s="105" t="s">
        <v>3309</v>
      </c>
      <c r="I138" s="105" t="s">
        <v>3310</v>
      </c>
      <c r="J138" s="105" t="s">
        <v>2666</v>
      </c>
      <c r="K138" s="105" t="s">
        <v>3311</v>
      </c>
      <c r="L138" s="105" t="s">
        <v>3312</v>
      </c>
      <c r="M138" s="105" t="s">
        <v>3303</v>
      </c>
      <c r="N138" s="604"/>
      <c r="O138" s="606"/>
    </row>
    <row r="139" spans="3:17" ht="15.75" thickBot="1">
      <c r="C139" s="232" t="b">
        <v>1</v>
      </c>
      <c r="D139" s="231" t="b">
        <v>1</v>
      </c>
      <c r="E139" s="229" t="b">
        <v>1</v>
      </c>
      <c r="F139" s="229" t="b">
        <v>0</v>
      </c>
      <c r="G139" s="229" t="b">
        <v>0</v>
      </c>
      <c r="H139" s="229" t="b">
        <v>0</v>
      </c>
      <c r="I139" s="229" t="b">
        <v>0</v>
      </c>
      <c r="J139" s="229" t="b">
        <v>0</v>
      </c>
      <c r="K139" s="229" t="b">
        <v>0</v>
      </c>
      <c r="L139" s="229" t="b">
        <v>0</v>
      </c>
      <c r="M139" s="229" t="b">
        <v>0</v>
      </c>
      <c r="N139" s="229" t="b">
        <v>0</v>
      </c>
      <c r="O139" s="230" t="b">
        <v>0</v>
      </c>
      <c r="P139" s="16" t="str">
        <f>IF(C139=TRUE, IF(COUNTIF(D139:M139, TRUE)&gt;0, "OK", "MISSING VALUE"), "")</f>
        <v>OK</v>
      </c>
    </row>
    <row r="140" spans="3:17" ht="57.4" customHeight="1" thickBot="1">
      <c r="F140"/>
    </row>
    <row r="141" spans="3:17" ht="15">
      <c r="C141" s="518" t="str">
        <f xml:space="preserve"> "B2 - Cooperative specific disclosures " &amp; template_reporting_period_display &amp; " [If applicable]"</f>
        <v>B2 - Cooperative specific disclosures from 2024-01-01 to 2024-12-31 [If applicable]</v>
      </c>
      <c r="D141" s="519"/>
      <c r="F141"/>
    </row>
    <row r="142" spans="3:17">
      <c r="C142" s="475">
        <v>79</v>
      </c>
      <c r="D142" s="476"/>
      <c r="F142"/>
    </row>
    <row r="143" spans="3:17" ht="28.5">
      <c r="C143" s="311" t="s">
        <v>4472</v>
      </c>
      <c r="D143" s="347"/>
      <c r="E143" s="16" t="str">
        <f>IF(AND(D143&lt;&gt;"",UndertakingsLegalForm="cooperative"),"OK","")</f>
        <v/>
      </c>
      <c r="F143"/>
    </row>
    <row r="144" spans="3:17" ht="42.75">
      <c r="C144" s="311" t="s">
        <v>4473</v>
      </c>
      <c r="D144" s="348"/>
      <c r="E144" s="16" t="str">
        <f>IF(AND(D144&lt;&gt;"",UndertakingsLegalForm="cooperative"),"OK","")</f>
        <v/>
      </c>
      <c r="F144"/>
    </row>
    <row r="145" spans="1:8" ht="57.4" customHeight="1" thickBot="1">
      <c r="C145" s="134" t="s">
        <v>4474</v>
      </c>
      <c r="D145" s="349"/>
      <c r="E145" s="16" t="str">
        <f>IF(AND(D145&lt;&gt;"",UndertakingsLegalForm="cooperative"),"OK","")</f>
        <v/>
      </c>
      <c r="F145"/>
    </row>
    <row r="146" spans="1:8" ht="49.9" customHeight="1" thickBot="1">
      <c r="F146"/>
    </row>
    <row r="147" spans="1:8" ht="15">
      <c r="C147" s="492" t="str">
        <f>"C2 – Description of practices, policies and future initiatives for transitioning towards a more sustainable economy " &amp; template_reporting_period_display &amp; " [If applicable linked with B2]"</f>
        <v>C2 – Description of practices, policies and future initiatives for transitioning towards a more sustainable economy from 2024-01-01 to 2024-12-31 [If applicable linked with B2]</v>
      </c>
      <c r="D147" s="493"/>
      <c r="E147" s="493"/>
      <c r="F147" s="493"/>
      <c r="G147" s="494"/>
    </row>
    <row r="148" spans="1:8" ht="37.9" customHeight="1">
      <c r="A148" s="296">
        <v>48</v>
      </c>
      <c r="B148" s="297">
        <v>213</v>
      </c>
      <c r="C148" s="495" t="s">
        <v>4652</v>
      </c>
      <c r="D148" s="496"/>
      <c r="E148" s="486"/>
      <c r="F148" s="487"/>
      <c r="G148" s="488"/>
      <c r="H148" s="16" t="str">
        <f>IF(AND(BasisForPreparation="Option B (Basic Module and Comprehensive Module)", C139=TRUE, DescriptionOfPracticesPoliciesAndOrFutureInitiatives=""), "MISSING VALUE",
IF(AND(BasisForPreparation="Option B (Basic Module and Comprehensive Module)", C139=TRUE, DescriptionOfPracticesPoliciesAndOrFutureInitiatives&lt;&gt;""), "OK",
IF(AND(BasisForPreparation="Option A (Basic Module only)", E148&lt;&gt;""), "OK", "")))</f>
        <v/>
      </c>
    </row>
    <row r="149" spans="1:8" ht="15">
      <c r="A149" s="284" t="s">
        <v>1</v>
      </c>
      <c r="B149" s="297">
        <v>213</v>
      </c>
      <c r="C149" s="497" t="s">
        <v>4358</v>
      </c>
      <c r="D149" s="498"/>
      <c r="E149" s="486"/>
      <c r="F149" s="487"/>
      <c r="G149" s="488"/>
      <c r="H149" s="16" t="str">
        <f>IF(AND(BasisForPreparation="Option B (Basic Module and Comprehensive Module)", C139=TRUE, O139=TRUE, E149=""), "MISSING VALUE",
IF(AND(BasisForPreparation="Option B (Basic Module and Comprehensive Module)", C139=TRUE, O139=TRUE, E149&lt;&gt;""), "OK",
IF(AND(BasisForPreparation="Option A (Basic Module only)", E149&lt;&gt;""), "OK", "")))</f>
        <v/>
      </c>
    </row>
    <row r="150" spans="1:8" ht="15.75" thickBot="1">
      <c r="A150" s="296">
        <v>49</v>
      </c>
      <c r="B150" s="297">
        <v>213</v>
      </c>
      <c r="C150" s="484" t="s">
        <v>4356</v>
      </c>
      <c r="D150" s="485"/>
      <c r="E150" s="489"/>
      <c r="F150" s="490"/>
      <c r="G150" s="491"/>
      <c r="H150" s="16" t="str">
        <f>IF(AND(BasisForPreparation="Option B (Basic Module and Comprehensive Module)", C139=TRUE, MostSeniorLevelAccountableForImplementationOfPracticesPoliciesAndOrFutureInitiatives=""), "MISSING VALUE",
IF(AND(BasisForPreparation="Option B (Basic Module and Comprehensive Module)", C139=TRUE, MostSeniorLevelAccountableForImplementationOfPracticesPoliciesAndOrFutureInitiatives&lt;&gt;""), "OK",
IF(AND(BasisForPreparation="Option A (Basic Module only)", E150&lt;&gt;""), "OK", "")))</f>
        <v/>
      </c>
    </row>
    <row r="151" spans="1:8" ht="14.65" customHeight="1">
      <c r="F151"/>
    </row>
    <row r="152" spans="1:8" ht="14.65" customHeight="1" thickBot="1">
      <c r="F152"/>
    </row>
    <row r="153" spans="1:8" ht="14.85" customHeight="1">
      <c r="C153" s="492" t="str">
        <f xml:space="preserve"> "C1 – Strategy: Business Model and Sustainability – Related Initiatives " &amp; template_reporting_period_display &amp; " [Always to be reported]"</f>
        <v>C1 – Strategy: Business Model and Sustainability – Related Initiatives from 2024-01-01 to 2024-12-31 [Always to be reported]</v>
      </c>
      <c r="D153" s="493"/>
      <c r="E153" s="493"/>
      <c r="F153" s="493"/>
      <c r="G153" s="494"/>
    </row>
    <row r="154" spans="1:8" ht="15">
      <c r="A154" s="293" t="s">
        <v>4580</v>
      </c>
      <c r="B154" s="283" t="s">
        <v>1</v>
      </c>
      <c r="C154" s="592" t="s">
        <v>16</v>
      </c>
      <c r="D154" s="593"/>
      <c r="E154" s="581"/>
      <c r="F154" s="582"/>
      <c r="G154" s="583"/>
      <c r="H154" s="16" t="str">
        <f>IF(AND($E$32="Option B (Basic Module and Comprehensive Module)", E154=""), "MISSING VALUE",
   IF(AND($E$32="Option A (Basic Module only)", E154&lt;&gt;""), "OK",
   IF(AND($E$32="Option B (Basic Module and Comprehensive Module)", E154&lt;&gt;""), "OK", "")))</f>
        <v/>
      </c>
    </row>
    <row r="155" spans="1:8" ht="15">
      <c r="A155" s="293" t="s">
        <v>4581</v>
      </c>
      <c r="B155" s="283" t="s">
        <v>1</v>
      </c>
      <c r="C155" s="594" t="s">
        <v>3738</v>
      </c>
      <c r="D155" s="595"/>
      <c r="E155" s="584"/>
      <c r="F155" s="584"/>
      <c r="G155" s="585"/>
      <c r="H155" s="16" t="str">
        <f>IF(AND($E$32="Option B (Basic Module and Comprehensive Module)", E155=""), "MISSING VALUE",
   IF(AND($E$32="Option A (Basic Module only)", E155&lt;&gt;""), "OK",
   IF(AND($E$32="Option B (Basic Module and Comprehensive Module)", E155&lt;&gt;""), "OK", "")))</f>
        <v/>
      </c>
    </row>
    <row r="156" spans="1:8" ht="15.75" thickBot="1">
      <c r="A156" s="293" t="s">
        <v>4582</v>
      </c>
      <c r="B156" s="295">
        <v>212</v>
      </c>
      <c r="C156" s="590" t="s">
        <v>3739</v>
      </c>
      <c r="D156" s="591"/>
      <c r="E156" s="586"/>
      <c r="F156" s="586"/>
      <c r="G156" s="587"/>
      <c r="H156" s="16" t="str">
        <f>IF(AND($E$32="Option B (Basic Module and Comprehensive Module)", E156=""), "MISSING VALUE",
   IF(AND($E$32="Option A (Basic Module only)", E156&lt;&gt;""), "OK",
   IF(AND($E$32="Option B (Basic Module and Comprehensive Module)", E156&lt;&gt;""), "OK", "")))</f>
        <v/>
      </c>
    </row>
    <row r="157" spans="1:8" ht="27" customHeight="1" thickBot="1">
      <c r="F157"/>
    </row>
    <row r="158" spans="1:8" ht="15">
      <c r="C158" s="481" t="str">
        <f xml:space="preserve"> "C1 – Strategy: Business Model and Sustainability – Related Initiatives " &amp; template_reporting_period_display &amp; " [If applicable]"</f>
        <v>C1 – Strategy: Business Model and Sustainability – Related Initiatives from 2024-01-01 to 2024-12-31 [If applicable]</v>
      </c>
      <c r="D158" s="482"/>
      <c r="E158" s="482"/>
      <c r="F158" s="482"/>
      <c r="G158" s="483"/>
    </row>
    <row r="159" spans="1:8">
      <c r="C159" s="477" t="s">
        <v>3822</v>
      </c>
      <c r="D159" s="478"/>
      <c r="E159" s="479" t="b">
        <v>0</v>
      </c>
      <c r="F159" s="479"/>
      <c r="G159" s="480"/>
    </row>
    <row r="160" spans="1:8" ht="15.75" thickBot="1">
      <c r="A160" s="293" t="s">
        <v>4583</v>
      </c>
      <c r="B160" s="283" t="s">
        <v>1</v>
      </c>
      <c r="C160" s="484" t="s">
        <v>4359</v>
      </c>
      <c r="D160" s="485"/>
      <c r="E160" s="588"/>
      <c r="F160" s="588"/>
      <c r="G160" s="589"/>
      <c r="H160" s="16" t="str">
        <f>IF(AND($E$32="Option B (Basic Module and Comprehensive Module)", E160="",E159=TRUE), "MISSING VALUE",
   IF(AND($E$32="Option A (Basic Module only)", E160&lt;&gt;"",E159=TRUE), "OK",
   IF(AND($E$32="Option B (Basic Module and Comprehensive Module)", E160&lt;&gt;"",E159=TRUE), "OK", "")))</f>
        <v/>
      </c>
    </row>
    <row r="161" spans="2:15" ht="15" thickBot="1"/>
    <row r="162" spans="2:15" ht="14.85" customHeight="1">
      <c r="C162" s="578" t="str">
        <f xml:space="preserve"> "Disclosure of any other general and/or entity specific information on the reporting period " &amp; template_reporting_period_display &amp; " [May (optional)] "</f>
        <v xml:space="preserve">Disclosure of any other general and/or entity specific information on the reporting period from 2024-01-01 to 2024-12-31 [May (optional)] </v>
      </c>
      <c r="D162" s="579"/>
      <c r="E162" s="579"/>
      <c r="F162" s="579"/>
      <c r="G162" s="579"/>
      <c r="H162" s="580"/>
      <c r="I162" s="10"/>
      <c r="J162" s="10"/>
      <c r="K162" s="10"/>
      <c r="L162" s="10"/>
      <c r="M162" s="10"/>
      <c r="N162" s="10"/>
      <c r="O162" s="10"/>
    </row>
    <row r="163" spans="2:15" ht="14.85" customHeight="1">
      <c r="B163" s="285"/>
      <c r="C163" s="576">
        <v>10</v>
      </c>
      <c r="D163" s="576"/>
      <c r="E163" s="576"/>
      <c r="F163" s="576"/>
      <c r="G163" s="576"/>
      <c r="H163" s="577"/>
      <c r="I163" s="10"/>
      <c r="J163" s="10"/>
      <c r="K163" s="10"/>
      <c r="L163" s="10"/>
      <c r="M163" s="10"/>
      <c r="N163" s="10"/>
      <c r="O163" s="10"/>
    </row>
    <row r="164" spans="2:15" ht="15.75" thickBot="1">
      <c r="C164" s="572"/>
      <c r="D164" s="573"/>
      <c r="E164" s="573"/>
      <c r="F164" s="573"/>
      <c r="G164" s="573"/>
      <c r="H164" s="573"/>
      <c r="I164" s="107" t="str">
        <f>IF(C164&lt;&gt;"", "OK", "")</f>
        <v/>
      </c>
    </row>
  </sheetData>
  <sheetProtection algorithmName="SHA-512" hashValue="XMJr+Gf+Y/4BbhgabNGCOkYp8vXf9x3ZFnafsYZR3nLW7LqopP2kN6Kr2dgCNz8g2+iUSB5LL7+7Seq685tr9A==" saltValue="gpoXqyQJFr3gAO4KMKc4Ag==" spinCount="100000" sheet="1" formatColumns="0" formatRows="0" insertRows="0"/>
  <mergeCells count="83">
    <mergeCell ref="C135:O135"/>
    <mergeCell ref="D137:M137"/>
    <mergeCell ref="N137:N138"/>
    <mergeCell ref="O137:O138"/>
    <mergeCell ref="C105:C107"/>
    <mergeCell ref="G105:G107"/>
    <mergeCell ref="F105:F107"/>
    <mergeCell ref="E105:E107"/>
    <mergeCell ref="D105:D107"/>
    <mergeCell ref="C164:H164"/>
    <mergeCell ref="C29:D29"/>
    <mergeCell ref="C163:H163"/>
    <mergeCell ref="C162:H162"/>
    <mergeCell ref="E154:G154"/>
    <mergeCell ref="E155:G155"/>
    <mergeCell ref="E156:G156"/>
    <mergeCell ref="E160:G160"/>
    <mergeCell ref="C160:D160"/>
    <mergeCell ref="C156:D156"/>
    <mergeCell ref="C154:D154"/>
    <mergeCell ref="C155:D155"/>
    <mergeCell ref="C97:H97"/>
    <mergeCell ref="C68:E68"/>
    <mergeCell ref="E100:H100"/>
    <mergeCell ref="C134:O134"/>
    <mergeCell ref="A45:A59"/>
    <mergeCell ref="B45:B59"/>
    <mergeCell ref="C45:D59"/>
    <mergeCell ref="C64:D64"/>
    <mergeCell ref="C65:D65"/>
    <mergeCell ref="C60:D60"/>
    <mergeCell ref="A43:A44"/>
    <mergeCell ref="B43:B44"/>
    <mergeCell ref="C44:D44"/>
    <mergeCell ref="C43:D43"/>
    <mergeCell ref="D9:E9"/>
    <mergeCell ref="D10:E10"/>
    <mergeCell ref="D11:E11"/>
    <mergeCell ref="D12:E12"/>
    <mergeCell ref="D13:E13"/>
    <mergeCell ref="C2:E2"/>
    <mergeCell ref="C100:D100"/>
    <mergeCell ref="C16:E16"/>
    <mergeCell ref="C32:D32"/>
    <mergeCell ref="C18:D18"/>
    <mergeCell ref="C61:D61"/>
    <mergeCell ref="C62:D62"/>
    <mergeCell ref="C17:E17"/>
    <mergeCell ref="C42:D42"/>
    <mergeCell ref="C19:D28"/>
    <mergeCell ref="C67:E67"/>
    <mergeCell ref="D3:E3"/>
    <mergeCell ref="D5:E5"/>
    <mergeCell ref="D6:E6"/>
    <mergeCell ref="D7:E7"/>
    <mergeCell ref="D8:E8"/>
    <mergeCell ref="F6:F8"/>
    <mergeCell ref="C31:E31"/>
    <mergeCell ref="C33:D41"/>
    <mergeCell ref="C153:G153"/>
    <mergeCell ref="C137:C138"/>
    <mergeCell ref="C63:D63"/>
    <mergeCell ref="C99:D99"/>
    <mergeCell ref="E99:H99"/>
    <mergeCell ref="C104:H104"/>
    <mergeCell ref="C103:H103"/>
    <mergeCell ref="C102:H102"/>
    <mergeCell ref="C141:D141"/>
    <mergeCell ref="C96:H96"/>
    <mergeCell ref="C98:H98"/>
    <mergeCell ref="F10:F12"/>
    <mergeCell ref="C136:O136"/>
    <mergeCell ref="C142:D142"/>
    <mergeCell ref="C159:D159"/>
    <mergeCell ref="E159:G159"/>
    <mergeCell ref="C158:G158"/>
    <mergeCell ref="C150:D150"/>
    <mergeCell ref="E148:G148"/>
    <mergeCell ref="E150:G150"/>
    <mergeCell ref="C147:G147"/>
    <mergeCell ref="E149:G149"/>
    <mergeCell ref="C148:D148"/>
    <mergeCell ref="C149:D149"/>
  </mergeCells>
  <phoneticPr fontId="3" type="noConversion"/>
  <conditionalFormatting sqref="C19 C29:D29">
    <cfRule type="expression" dxfId="372" priority="88">
      <formula>$E$18=TRUE</formula>
    </cfRule>
  </conditionalFormatting>
  <conditionalFormatting sqref="C44">
    <cfRule type="expression" dxfId="371" priority="104">
      <formula>$E$43="other (please specify the legal form in the row below)"</formula>
    </cfRule>
  </conditionalFormatting>
  <conditionalFormatting sqref="D143:D145">
    <cfRule type="expression" dxfId="370" priority="9">
      <formula>$E$43="cooperative"</formula>
    </cfRule>
  </conditionalFormatting>
  <conditionalFormatting sqref="D70:E94">
    <cfRule type="expression" dxfId="369" priority="56">
      <formula>$E$42="Sustainability report prepared on a consolidated basis"</formula>
    </cfRule>
  </conditionalFormatting>
  <conditionalFormatting sqref="D139:O139 E148 E150">
    <cfRule type="expression" dxfId="368" priority="18">
      <formula>$C$139=TRUE</formula>
    </cfRule>
  </conditionalFormatting>
  <conditionalFormatting sqref="D139:O139">
    <cfRule type="expression" dxfId="367" priority="28">
      <formula>$C$139=TRUE</formula>
    </cfRule>
  </conditionalFormatting>
  <conditionalFormatting sqref="E19:E28">
    <cfRule type="expression" dxfId="366" priority="142">
      <formula>AND(ISBLANK(#REF!), $E$18=TRUE)</formula>
    </cfRule>
  </conditionalFormatting>
  <conditionalFormatting sqref="E19:E29">
    <cfRule type="expression" dxfId="365" priority="2">
      <formula>$E$18=TRUE</formula>
    </cfRule>
  </conditionalFormatting>
  <conditionalFormatting sqref="E34:E41">
    <cfRule type="expression" dxfId="364" priority="76">
      <formula>$E$18=TRUE</formula>
    </cfRule>
    <cfRule type="expression" dxfId="363" priority="77">
      <formula>AND(ISBLANK(#REF!), $E$18=TRUE)</formula>
    </cfRule>
  </conditionalFormatting>
  <conditionalFormatting sqref="E44">
    <cfRule type="expression" dxfId="362" priority="103">
      <formula>$E$43="other (please specify the legal form in the row below)"</formula>
    </cfRule>
  </conditionalFormatting>
  <conditionalFormatting sqref="E99">
    <cfRule type="expression" dxfId="361" priority="54">
      <formula>$D$81="YES"</formula>
    </cfRule>
  </conditionalFormatting>
  <conditionalFormatting sqref="E143:E145">
    <cfRule type="expression" dxfId="360" priority="12">
      <formula>$E143="OK"</formula>
    </cfRule>
  </conditionalFormatting>
  <conditionalFormatting sqref="E149:G149">
    <cfRule type="expression" dxfId="359" priority="372">
      <formula>AND($C$139=TRUE,$O$139=TRUE)</formula>
    </cfRule>
  </conditionalFormatting>
  <conditionalFormatting sqref="E160:G160">
    <cfRule type="expression" dxfId="358" priority="45">
      <formula>$E$159=TRUE</formula>
    </cfRule>
  </conditionalFormatting>
  <conditionalFormatting sqref="E100:H100">
    <cfRule type="expression" dxfId="357" priority="53">
      <formula>$E$99=TRUE</formula>
    </cfRule>
  </conditionalFormatting>
  <conditionalFormatting sqref="F3:F5 F70:F94">
    <cfRule type="expression" dxfId="356" priority="147">
      <formula>$F3="OK"</formula>
    </cfRule>
    <cfRule type="expression" dxfId="355" priority="148">
      <formula>$F3="MISSING VALUE"</formula>
    </cfRule>
  </conditionalFormatting>
  <conditionalFormatting sqref="F6:F8">
    <cfRule type="expression" dxfId="354" priority="3">
      <formula>$F$6="ERROR"</formula>
    </cfRule>
    <cfRule type="expression" dxfId="353" priority="58">
      <formula>$F$6="VALUE INCONSISTENCY"</formula>
    </cfRule>
    <cfRule type="expression" dxfId="352" priority="60">
      <formula>$F$6="OK"</formula>
    </cfRule>
    <cfRule type="expression" dxfId="351" priority="61">
      <formula>$F$6="MISSING VALUE"</formula>
    </cfRule>
  </conditionalFormatting>
  <conditionalFormatting sqref="F10">
    <cfRule type="expression" dxfId="350" priority="57">
      <formula>$F$10="ERROR"</formula>
    </cfRule>
    <cfRule type="expression" dxfId="349" priority="62">
      <formula>$F$10="MISSING VALUE"</formula>
    </cfRule>
    <cfRule type="expression" dxfId="348" priority="63">
      <formula>$F$10="VALUE INCONSISTENCY"</formula>
    </cfRule>
    <cfRule type="expression" dxfId="347" priority="64">
      <formula>$F$10="OK"</formula>
    </cfRule>
  </conditionalFormatting>
  <conditionalFormatting sqref="F13:F14">
    <cfRule type="expression" dxfId="346" priority="65">
      <formula>$F13="MISSING VALUE"</formula>
    </cfRule>
    <cfRule type="expression" dxfId="345" priority="66">
      <formula>$F13="OK"</formula>
    </cfRule>
  </conditionalFormatting>
  <conditionalFormatting sqref="F18">
    <cfRule type="expression" dxfId="344" priority="89">
      <formula>$F$18="OK"</formula>
    </cfRule>
  </conditionalFormatting>
  <conditionalFormatting sqref="F19:F29">
    <cfRule type="expression" dxfId="343" priority="8">
      <formula>$F19="VALUE INCONSISTENCY"</formula>
    </cfRule>
    <cfRule type="expression" dxfId="342" priority="86">
      <formula>$F19="MISSING VALUE"</formula>
    </cfRule>
    <cfRule type="expression" dxfId="341" priority="87">
      <formula>$F19="OK"</formula>
    </cfRule>
  </conditionalFormatting>
  <conditionalFormatting sqref="F29">
    <cfRule type="expression" dxfId="340" priority="13">
      <formula>$F$29="INVALID URL"</formula>
    </cfRule>
  </conditionalFormatting>
  <conditionalFormatting sqref="F32">
    <cfRule type="expression" dxfId="339" priority="69">
      <formula>$F32="MISSING VALUE"</formula>
    </cfRule>
    <cfRule type="expression" dxfId="338" priority="70">
      <formula>$F32="OK"</formula>
    </cfRule>
  </conditionalFormatting>
  <conditionalFormatting sqref="F33">
    <cfRule type="expression" dxfId="337" priority="6">
      <formula>$F$33="VALUE INCONSISTENCY"</formula>
    </cfRule>
    <cfRule type="expression" dxfId="336" priority="119">
      <formula>$F$33="MISSING VALUE"</formula>
    </cfRule>
    <cfRule type="expression" dxfId="335" priority="120">
      <formula>$F$33="OK"</formula>
    </cfRule>
  </conditionalFormatting>
  <conditionalFormatting sqref="F34:F41">
    <cfRule type="expression" dxfId="334" priority="7">
      <formula>$F34="VALUE INCONSISTENCY"</formula>
    </cfRule>
    <cfRule type="expression" dxfId="333" priority="74">
      <formula>$F34="MISSING VALUE"</formula>
    </cfRule>
    <cfRule type="expression" dxfId="332" priority="75">
      <formula>$F34="OK"</formula>
    </cfRule>
  </conditionalFormatting>
  <conditionalFormatting sqref="F42">
    <cfRule type="expression" dxfId="331" priority="129">
      <formula>$F$42="OK"</formula>
    </cfRule>
    <cfRule type="expression" dxfId="330" priority="152">
      <formula>$F$42="MISSING VALUE"</formula>
    </cfRule>
  </conditionalFormatting>
  <conditionalFormatting sqref="F43">
    <cfRule type="expression" dxfId="329" priority="127">
      <formula>$F$43="MISSING VALUE"</formula>
    </cfRule>
    <cfRule type="expression" dxfId="328" priority="128">
      <formula>$F$43="OK"</formula>
    </cfRule>
  </conditionalFormatting>
  <conditionalFormatting sqref="F44">
    <cfRule type="expression" dxfId="327" priority="90">
      <formula>$F$44="MISSING VALUE"</formula>
    </cfRule>
    <cfRule type="expression" dxfId="326" priority="91">
      <formula>$F$44="OK"</formula>
    </cfRule>
  </conditionalFormatting>
  <conditionalFormatting sqref="F45">
    <cfRule type="expression" dxfId="325" priority="5">
      <formula>$F$45="VALUE INCONSISTENCY"</formula>
    </cfRule>
    <cfRule type="expression" dxfId="324" priority="42">
      <formula>$F$45="ERROR"</formula>
    </cfRule>
    <cfRule type="expression" dxfId="323" priority="149">
      <formula>$F$45="OK"</formula>
    </cfRule>
    <cfRule type="expression" dxfId="322" priority="150">
      <formula>$F$45="MISSING VALUE"</formula>
    </cfRule>
  </conditionalFormatting>
  <conditionalFormatting sqref="F46:F59">
    <cfRule type="expression" dxfId="321" priority="4">
      <formula>$F46="VALUE INCONSISTENCY"</formula>
    </cfRule>
    <cfRule type="expression" dxfId="320" priority="39">
      <formula>$F46="MISSING VALUE"</formula>
    </cfRule>
    <cfRule type="expression" dxfId="319" priority="40">
      <formula>$F46="OK"</formula>
    </cfRule>
    <cfRule type="expression" dxfId="318" priority="41">
      <formula>$F46="ERROR"</formula>
    </cfRule>
  </conditionalFormatting>
  <conditionalFormatting sqref="F60">
    <cfRule type="expression" dxfId="317" priority="136">
      <formula>$F$60="OK"</formula>
    </cfRule>
    <cfRule type="expression" dxfId="316" priority="137">
      <formula>$F$60="MISSING VALUE"</formula>
    </cfRule>
  </conditionalFormatting>
  <conditionalFormatting sqref="F61:F65">
    <cfRule type="expression" dxfId="315" priority="134">
      <formula>$F61="OK"</formula>
    </cfRule>
    <cfRule type="expression" dxfId="314" priority="135">
      <formula>$F61="MISSING VALUE"</formula>
    </cfRule>
  </conditionalFormatting>
  <conditionalFormatting sqref="F93">
    <cfRule type="expression" dxfId="313" priority="271">
      <formula>#REF!="MISSING VALUE"</formula>
    </cfRule>
    <cfRule type="expression" dxfId="312" priority="272">
      <formula>#REF!="OK"</formula>
    </cfRule>
  </conditionalFormatting>
  <conditionalFormatting sqref="F94">
    <cfRule type="expression" dxfId="311" priority="273">
      <formula>$F105="MISSING VALUE"</formula>
    </cfRule>
    <cfRule type="expression" dxfId="310" priority="274">
      <formula>$F105="OK"</formula>
    </cfRule>
  </conditionalFormatting>
  <conditionalFormatting sqref="G43">
    <cfRule type="expression" dxfId="309" priority="133">
      <formula>$G$43="Please specify the legal form in the row below"</formula>
    </cfRule>
  </conditionalFormatting>
  <conditionalFormatting sqref="H109:H132">
    <cfRule type="expression" dxfId="308" priority="14">
      <formula>$H$107=FALSE</formula>
    </cfRule>
  </conditionalFormatting>
  <conditionalFormatting sqref="H148:H150">
    <cfRule type="expression" dxfId="307" priority="15">
      <formula>$H148="MISSING VALUE"</formula>
    </cfRule>
    <cfRule type="expression" dxfId="306" priority="16">
      <formula>$H148="OK"</formula>
    </cfRule>
  </conditionalFormatting>
  <conditionalFormatting sqref="H154:H156 H160">
    <cfRule type="expression" dxfId="305" priority="101">
      <formula>$H154="OK"</formula>
    </cfRule>
    <cfRule type="expression" dxfId="304" priority="102">
      <formula>$H154="MISSING VALUE"</formula>
    </cfRule>
  </conditionalFormatting>
  <conditionalFormatting sqref="I100">
    <cfRule type="expression" dxfId="303" priority="44">
      <formula>$I$100="MISSING VALUE"</formula>
    </cfRule>
    <cfRule type="expression" dxfId="302" priority="85">
      <formula>$I$100="OK"</formula>
    </cfRule>
  </conditionalFormatting>
  <conditionalFormatting sqref="I108:I132">
    <cfRule type="expression" dxfId="301" priority="92">
      <formula>$I108="OK"</formula>
    </cfRule>
    <cfRule type="expression" dxfId="300" priority="93">
      <formula>$I108="MISSING VALUE"</formula>
    </cfRule>
  </conditionalFormatting>
  <conditionalFormatting sqref="I164">
    <cfRule type="expression" dxfId="299" priority="84">
      <formula>$I$164="OK"</formula>
    </cfRule>
  </conditionalFormatting>
  <conditionalFormatting sqref="P139">
    <cfRule type="expression" dxfId="298" priority="24">
      <formula>$P$139="MISSING VALUE"</formula>
    </cfRule>
    <cfRule type="expression" dxfId="297" priority="25">
      <formula>$P$139="OK"</formula>
    </cfRule>
  </conditionalFormatting>
  <conditionalFormatting sqref="H108">
    <cfRule type="expression" dxfId="296" priority="1">
      <formula>$H$107=FALSE</formula>
    </cfRule>
  </conditionalFormatting>
  <dataValidations xWindow="549" yWindow="696" count="26">
    <dataValidation type="list" allowBlank="1" showInputMessage="1" showErrorMessage="1" sqref="E32">
      <formula1>"Option A (Basic Module only), Option B (Basic Module and Comprehensive Module)"</formula1>
    </dataValidation>
    <dataValidation type="list" allowBlank="1" showInputMessage="1" showErrorMessage="1" sqref="E42">
      <formula1>"Sustainability report prepared on an individual basis, Sustainability report prepared on a consolidated basis"</formula1>
    </dataValidation>
    <dataValidation type="list" allowBlank="1" showInputMessage="1" showErrorMessage="1" sqref="E64">
      <formula1>"Headcount, Full-time equivalent (FTE)"</formula1>
    </dataValidation>
    <dataValidation allowBlank="1" showInputMessage="1" showErrorMessage="1" promptTitle="Additional rows" prompt="Lists can be expanded using the little [+] button on the left.  If the number of rows is not sufficient, those can be added by right clicking the second row and selecting &quot;Insert row&quot;." sqref="D70 D110"/>
    <dataValidation type="list" allowBlank="1" showInputMessage="1" showErrorMessage="1" sqref="G108:G132">
      <formula1>enum_ListCountriesName</formula1>
    </dataValidation>
    <dataValidation type="list" allowBlank="1" showInputMessage="1" showErrorMessage="1" promptTitle="Additional rows" prompt="Lists can be expanded using the little [+] button on the left.  If the number of rows is not sufficient, those can be added by right clicking the second row and selecting &quot;Insert row&quot;." sqref="E19">
      <formula1>enum_ListOmittedDisclosures</formula1>
    </dataValidation>
    <dataValidation type="date" operator="equal" allowBlank="1" showInputMessage="1" showErrorMessage="1" promptTitle="Warning" prompt="The date should be inserted in the following format: dd/mm/yyyy_x000a_Please be sure to use the &quot;/&quot; and not the &quot;.&quot;" sqref="E32">
      <formula1>E32</formula1>
    </dataValidation>
    <dataValidation type="decimal" operator="equal" allowBlank="1" showInputMessage="1" showErrorMessage="1" promptTitle="Warning" prompt="Please insert only numbers and not letters or other special characters." sqref="E60:E62">
      <formula1>E60</formula1>
    </dataValidation>
    <dataValidation type="custom" showInputMessage="1" showErrorMessage="1" sqref="E159 I146:O152 E99 I99 C151:H152 C146:H146 C139:O140 E18 H107">
      <formula1>OR(C18=TRUE,C18=FALSE)</formula1>
    </dataValidation>
    <dataValidation allowBlank="1" showInputMessage="1" showErrorMessage="1" promptTitle="Warning (if applicable)" prompt="This disclosure is applicable only if the undertaking has obtained any sustainability-related certification or label." sqref="E100:H100"/>
    <dataValidation allowBlank="1" showInputMessage="1" showErrorMessage="1" promptTitle="Warning (if applicable)" prompt="This disclosure is applicable only if the strategy has key elements that relate to or affect sustainability issues." sqref="E160:G160"/>
    <dataValidation type="list" operator="equal" showInputMessage="1" showErrorMessage="1" promptTitle="Warning" prompt="If VALUE INCONSISTENCY message appears on the right, please ensure that the reporting period end date is greater than the reporting period start date." sqref="D8">
      <formula1>enum_ListDays</formula1>
    </dataValidation>
    <dataValidation type="list" allowBlank="1" showInputMessage="1" showErrorMessage="1" promptTitle="Warning" prompt="If VALUE INCONSISTENCY message appears on the right, please ensure that the reporting period end date is greater than the reporting period start date." sqref="D11 D7">
      <formula1>enum_ListMonth</formula1>
    </dataValidation>
    <dataValidation type="list" allowBlank="1" showInputMessage="1" showErrorMessage="1" promptTitle="Warning" prompt="If VALUE INCONSISTENCY message appears on the right, please ensure that the reporting period end date is greater than the reporting period start date." sqref="D10 D6">
      <formula1>enum_ListYear</formula1>
    </dataValidation>
    <dataValidation type="list" showInputMessage="1" showErrorMessage="1" promptTitle="Warning" prompt="If VALUE INCONSISTENCY message appears on the right, please ensure that the reporting period end date is greater than the reporting period start date." sqref="D12">
      <formula1>enum_ListDays</formula1>
    </dataValidation>
    <dataValidation allowBlank="1" showInputMessage="1" showErrorMessage="1" promptTitle="Warning" prompt="The coordinates should be entered in the format of &quot;latitude,langtitude&quot;. For example, the EFRAG office if Brussels would be reported as 50.840664,4.369322. Multiple locations are to be separated by whitespace." sqref="M108"/>
    <dataValidation type="list" allowBlank="1" showInputMessage="1" showErrorMessage="1" sqref="D5:E5">
      <formula1>enum_ListOfCurrencies</formula1>
    </dataValidation>
    <dataValidation type="list" allowBlank="1" showInputMessage="1" showErrorMessage="1" sqref="E63">
      <formula1>enum_employee_methodology</formula1>
    </dataValidation>
    <dataValidation type="list" allowBlank="1" showInputMessage="1" showErrorMessage="1" prompt="Please select a NACE code rather than a category else an ERROR message will appear." sqref="E45:E59">
      <formula1>enum_ListNACETechnicalName</formula1>
    </dataValidation>
    <dataValidation type="list" allowBlank="1" showInputMessage="1" showErrorMessage="1" promptTitle="Warning" prompt="In case the undertaking did not omit any disclosures then it can select &quot;None&quot; from the dropdown menu." sqref="E33">
      <formula1>enum_ListOmittedDisclosuresWithNone</formula1>
    </dataValidation>
    <dataValidation type="custom" showInputMessage="1" showErrorMessage="1" sqref="K108:K132">
      <formula1>LOWER(SUBSTITUTE(D108," ","+" )) &amp; "+" &amp; LOWER(SUBSTITUTE(E108," ","+" )) &amp; "+" &amp; LOWER(SUBSTITUTE(F108," ","+" )) &amp; "+" &amp; LOWER(SUBSTITUTE(G108," ","+" )) &amp; "+"</formula1>
    </dataValidation>
    <dataValidation type="list" allowBlank="1" showInputMessage="1" showErrorMessage="1" sqref="E20:E28 E34:E41">
      <formula1>enum_ListOmittedDisclosures</formula1>
    </dataValidation>
    <dataValidation allowBlank="1" showInputMessage="1" showErrorMessage="1" promptTitle="Warning" prompt="Please be careful to separate each street number and house number using the slash symbol &quot;/&quot; and not the comma &quot;,&quot;" sqref="D108"/>
    <dataValidation type="decimal" operator="equal" allowBlank="1" showInputMessage="1" showErrorMessage="1" sqref="D144">
      <formula1>D144</formula1>
    </dataValidation>
    <dataValidation type="list" allowBlank="1" showInputMessage="1" showErrorMessage="1" promptTitle="Warning" prompt="The entity identifier is a unique ID, that will enable identifying the company that has reported the information. The VSME Standard does not require any specific identifier. An entity identifier is required for the digital reporting. " sqref="D4">
      <formula1>enum_ListIdentifier</formula1>
    </dataValidation>
    <dataValidation type="date" operator="greaterThan" showInputMessage="1" showErrorMessage="1" sqref="E14">
      <formula1>D10</formula1>
    </dataValidation>
  </dataValidations>
  <hyperlinks>
    <hyperlink ref="B43" r:id="rId1" location="id-160" display="https://xbrl.efrag.org/e-esrs/2024-12-17-efrag-vsme.xhtml - id-160"/>
    <hyperlink ref="B45" r:id="rId2" location="id-166"/>
    <hyperlink ref="B62" r:id="rId3" location="id-168"/>
    <hyperlink ref="B65" r:id="rId4" location="id-170" display="73 -77"/>
    <hyperlink ref="A32" r:id="rId5" location="id-47"/>
    <hyperlink ref="A33" r:id="rId6" location="id-50"/>
    <hyperlink ref="A42" r:id="rId7" location="id-51"/>
    <hyperlink ref="A45" r:id="rId8" location="id-55"/>
    <hyperlink ref="A61" r:id="rId9" location="id-57"/>
    <hyperlink ref="A62" r:id="rId10" location="id-58"/>
    <hyperlink ref="A65" r:id="rId11" location="id-59"/>
    <hyperlink ref="C97" r:id="rId12" location="id-61" display="https://xbrl.efrag.org/e-esrs/2024-12-17-efrag-vsme.xhtml - id-61"/>
    <hyperlink ref="C104" r:id="rId13" location="id-170" display="73 -77"/>
    <hyperlink ref="C17" r:id="rId14" location="id-36" display="https://xbrl.efrag.org/e-esrs/2024-12-17-efrag-vsme.xhtml - id-36"/>
    <hyperlink ref="C98" r:id="rId15" location="id-174" display="https://xbrl.efrag.org/e-esrs/2024-12-17-efrag-vsme.xhtml - id-174"/>
    <hyperlink ref="C163" r:id="rId16" location="id-30" display="https://xbrl.efrag.org/e-esrs/2024-12-17-efrag-vsme.xhtml - id-30"/>
    <hyperlink ref="A160" r:id="rId17" location="id-109"/>
    <hyperlink ref="C103" r:id="rId18" location="id-60"/>
    <hyperlink ref="B156" r:id="rId19" location="id-396" display="https://xbrl.efrag.org/e-esrs/2024-12-17-efrag-vsme.xhtml - id-396"/>
    <hyperlink ref="A156" r:id="rId20" location="id-108" display="https://xbrl.efrag.org/e-esrs/2024-12-17-efrag-vsme.xhtml - id-108"/>
    <hyperlink ref="A154" r:id="rId21" location="id-106" display="https://xbrl.efrag.org/e-esrs/2024-12-17-efrag-vsme.xhtml - id-106"/>
    <hyperlink ref="A64" r:id="rId22" location="id-58"/>
    <hyperlink ref="B64" r:id="rId23" location="id-168" display="71-72"/>
    <hyperlink ref="C68:E68" r:id="rId24" location="id-52" display="24(d)"/>
    <hyperlink ref="A60" r:id="rId25" location="id-56"/>
    <hyperlink ref="A155" r:id="rId26" location="id-107" display="https://xbrl.efrag.org/e-esrs/2024-12-17-efrag-vsme.xhtml - id-107"/>
    <hyperlink ref="A63" r:id="rId27" location="id-58"/>
    <hyperlink ref="B63" r:id="rId28" location="id-168" display="71-72"/>
    <hyperlink ref="C135" r:id="rId29" location="id-62" display="Paragraph 26"/>
    <hyperlink ref="C136" r:id="rId30" location="id-175"/>
    <hyperlink ref="A148:B148" r:id="rId31" location="id-110" display="https://xbrl.efrag.org/e-esrs/2024-12-17-efrag-vsme.xhtml - id-110"/>
    <hyperlink ref="A150" r:id="rId32" location="id-111" display="Paragraph 49"/>
    <hyperlink ref="B149" r:id="rId33" location="id-110" display="https://xbrl.efrag.org/e-esrs/2024-12-17-efrag-vsme.xhtml - id-110"/>
    <hyperlink ref="B150" r:id="rId34" location="id-110" display="https://xbrl.efrag.org/e-esrs/2024-12-17-efrag-vsme.xhtml - id-110"/>
    <hyperlink ref="C142:D142" r:id="rId35" location="id-176" display="https://xbrl.efrag.org/e-esrs/2024-12-17-efrag-vsme.xhtml - id-176"/>
    <hyperlink ref="A43" r:id="rId36" location="id-54"/>
  </hyperlinks>
  <pageMargins left="0.25" right="0.25" top="0.75" bottom="0.75" header="0.3" footer="0.3"/>
  <pageSetup paperSize="9" scale="30" fitToHeight="0" orientation="landscape" r:id="rId37"/>
  <drawing r:id="rId38"/>
  <extLst>
    <ext xmlns:x14="http://schemas.microsoft.com/office/spreadsheetml/2009/9/main" uri="{CCE6A557-97BC-4b89-ADB6-D9C93CAAB3DF}">
      <x14:dataValidations xmlns:xm="http://schemas.microsoft.com/office/excel/2006/main" xWindow="549" yWindow="696" count="2">
        <x14:dataValidation type="list" allowBlank="1" showInputMessage="1" showErrorMessage="1">
          <x14:formula1>
            <xm:f>'Enumeration Lists'!$E$2:$E$257</xm:f>
          </x14:formula1>
          <xm:sqref>E65</xm:sqref>
        </x14:dataValidation>
        <x14:dataValidation type="list" allowBlank="1" showInputMessage="1" showErrorMessage="1" promptTitle="Warning" prompt="When &quot;other&quot; is chosen as undertaking legal form please fill the row below">
          <x14:formula1>
            <xm:f>'Enumeration Lists'!$L$2:$L$6</xm:f>
          </x14:formula1>
          <xm:sqref>E43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Q244"/>
  <sheetViews>
    <sheetView showGridLines="0" tabSelected="1" topLeftCell="B52" zoomScale="78" zoomScaleNormal="78" workbookViewId="0">
      <selection activeCell="C67" sqref="C67:F67"/>
    </sheetView>
  </sheetViews>
  <sheetFormatPr baseColWidth="10" defaultColWidth="8.875" defaultRowHeight="14.25" outlineLevelRow="1"/>
  <cols>
    <col min="1" max="2" width="10" bestFit="1" customWidth="1"/>
    <col min="3" max="3" width="78.125" customWidth="1"/>
    <col min="4" max="4" width="17.375" customWidth="1"/>
    <col min="5" max="5" width="19.625" customWidth="1"/>
    <col min="6" max="6" width="46.625" customWidth="1"/>
    <col min="7" max="7" width="15.625" customWidth="1"/>
    <col min="8" max="8" width="5.375" customWidth="1"/>
    <col min="9" max="9" width="13.625" customWidth="1"/>
    <col min="10" max="10" width="26.5" customWidth="1"/>
    <col min="11" max="11" width="24.75" customWidth="1"/>
    <col min="12" max="12" width="27.375" customWidth="1"/>
    <col min="13" max="13" width="30.375" customWidth="1"/>
    <col min="14" max="14" width="29.625" customWidth="1"/>
  </cols>
  <sheetData>
    <row r="1" spans="1:12" ht="43.5" thickBot="1">
      <c r="A1" s="308" t="s">
        <v>4565</v>
      </c>
      <c r="B1" s="308" t="s">
        <v>4564</v>
      </c>
    </row>
    <row r="2" spans="1:12" ht="15">
      <c r="C2" s="520" t="str">
        <f>"B3 - Total Energy Consumption (in MWh) " &amp; template_reporting_period_display  &amp; " [Always to be reported]"</f>
        <v>B3 - Total Energy Consumption (in MWh) from 2024-01-01 to 2024-12-31 [Always to be reported]</v>
      </c>
      <c r="D2" s="521"/>
      <c r="E2" s="521"/>
      <c r="F2" s="521"/>
      <c r="G2" s="521"/>
      <c r="H2" s="521"/>
      <c r="I2" s="521"/>
      <c r="J2" s="521"/>
      <c r="K2" s="522"/>
    </row>
    <row r="3" spans="1:12">
      <c r="C3" s="515">
        <v>29</v>
      </c>
      <c r="D3" s="516"/>
      <c r="E3" s="516"/>
      <c r="F3" s="516"/>
      <c r="G3" s="516"/>
      <c r="H3" s="516"/>
      <c r="I3" s="516"/>
      <c r="J3" s="516"/>
      <c r="K3" s="517"/>
    </row>
    <row r="4" spans="1:12">
      <c r="C4" s="709" t="s">
        <v>4584</v>
      </c>
      <c r="D4" s="710"/>
      <c r="E4" s="710"/>
      <c r="F4" s="710"/>
      <c r="G4" s="710"/>
      <c r="H4" s="710"/>
      <c r="I4" s="710"/>
      <c r="J4" s="710"/>
      <c r="K4" s="711"/>
    </row>
    <row r="5" spans="1:12" ht="15.75" thickBot="1">
      <c r="C5" s="846" t="s">
        <v>3287</v>
      </c>
      <c r="D5" s="847"/>
      <c r="E5" s="847"/>
      <c r="F5" s="848"/>
      <c r="G5" s="862">
        <v>643.89</v>
      </c>
      <c r="H5" s="863"/>
      <c r="I5" s="863"/>
      <c r="J5" s="863"/>
      <c r="K5" s="864"/>
      <c r="L5" s="16" t="str">
        <f>IF(AND(OR('General Information'!E32="Option A (Basic Module only)", 'General Information'!E32="Option B (Basic Module and Comprehensive Module)"),G5=""),"MISSING VALUE",IF('General Information'!E32="","","OK"))</f>
        <v>OK</v>
      </c>
    </row>
    <row r="6" spans="1:12" ht="15" thickBot="1"/>
    <row r="7" spans="1:12" ht="15">
      <c r="C7" s="520" t="str">
        <f>"B3 - Breakdown of energy consumption (in MWh) " &amp; template_reporting_period_display &amp; " [If applicable]"</f>
        <v>B3 - Breakdown of energy consumption (in MWh) from 2024-01-01 to 2024-12-31 [If applicable]</v>
      </c>
      <c r="D7" s="521"/>
      <c r="E7" s="521"/>
      <c r="F7" s="521"/>
      <c r="G7" s="521"/>
      <c r="H7" s="521"/>
      <c r="I7" s="521"/>
      <c r="J7" s="521"/>
      <c r="K7" s="522"/>
    </row>
    <row r="8" spans="1:12">
      <c r="C8" s="515">
        <v>29</v>
      </c>
      <c r="D8" s="516"/>
      <c r="E8" s="516"/>
      <c r="F8" s="516"/>
      <c r="G8" s="516"/>
      <c r="H8" s="516"/>
      <c r="I8" s="516"/>
      <c r="J8" s="516"/>
      <c r="K8" s="517"/>
    </row>
    <row r="9" spans="1:12">
      <c r="C9" s="709" t="s">
        <v>4584</v>
      </c>
      <c r="D9" s="710"/>
      <c r="E9" s="710"/>
      <c r="F9" s="710"/>
      <c r="G9" s="710"/>
      <c r="H9" s="710"/>
      <c r="I9" s="710"/>
      <c r="J9" s="710"/>
      <c r="K9" s="711"/>
    </row>
    <row r="10" spans="1:12">
      <c r="C10" s="697" t="s">
        <v>3821</v>
      </c>
      <c r="D10" s="698"/>
      <c r="E10" s="698"/>
      <c r="F10" s="698"/>
      <c r="G10" s="479" t="b">
        <v>1</v>
      </c>
      <c r="H10" s="479"/>
      <c r="I10" s="479"/>
      <c r="J10" s="479"/>
      <c r="K10" s="480"/>
    </row>
    <row r="11" spans="1:12" ht="38.65" customHeight="1">
      <c r="C11" s="865"/>
      <c r="D11" s="866"/>
      <c r="E11" s="866"/>
      <c r="F11" s="866"/>
      <c r="G11" s="860" t="s">
        <v>3778</v>
      </c>
      <c r="H11" s="861"/>
      <c r="I11" s="861"/>
      <c r="J11" s="123" t="s">
        <v>3779</v>
      </c>
      <c r="K11" s="124" t="s">
        <v>3780</v>
      </c>
      <c r="L11" s="16"/>
    </row>
    <row r="12" spans="1:12">
      <c r="C12" s="849" t="s">
        <v>17</v>
      </c>
      <c r="D12" s="850"/>
      <c r="E12" s="850"/>
      <c r="F12" s="851"/>
      <c r="G12" s="855">
        <v>491.19</v>
      </c>
      <c r="H12" s="856"/>
      <c r="I12" s="719"/>
      <c r="J12" s="446"/>
      <c r="K12" s="350">
        <f>IF(AND(G12="",J12=""),"-",SUM(G12:J12))</f>
        <v>491.19</v>
      </c>
      <c r="L12" s="652" t="str" cm="1">
        <f t="array" ref="L12">IF(G10=TRUE,
    IF(SUMPRODUCT(--(G12:J14&lt;&gt;"-"), --(G12:J14&lt;&gt;""))&gt;0,
        IF(SUM(G12:J14) &gt; TotalEnergyConsumption, "VALUE INCONSISTENCY", "OK"),
        "MISSING VALUE"),
"")</f>
        <v>OK</v>
      </c>
    </row>
    <row r="13" spans="1:12">
      <c r="C13" s="852" t="s">
        <v>4287</v>
      </c>
      <c r="D13" s="853"/>
      <c r="E13" s="853"/>
      <c r="F13" s="854"/>
      <c r="G13" s="855">
        <v>90.48</v>
      </c>
      <c r="H13" s="856"/>
      <c r="I13" s="719"/>
      <c r="J13" s="446"/>
      <c r="K13" s="350">
        <f>IF(AND(G13="",J13=""),"-",SUM(G13:J13))</f>
        <v>90.48</v>
      </c>
      <c r="L13" s="652"/>
    </row>
    <row r="14" spans="1:12" ht="15" thickBot="1">
      <c r="C14" s="804" t="s">
        <v>4647</v>
      </c>
      <c r="D14" s="805"/>
      <c r="E14" s="805"/>
      <c r="F14" s="806"/>
      <c r="G14" s="857" t="str">
        <f>'[1]Fuel Converter'!A32</f>
        <v>-</v>
      </c>
      <c r="H14" s="858"/>
      <c r="I14" s="859"/>
      <c r="J14" s="313">
        <v>62.216999999999999</v>
      </c>
      <c r="K14" s="351">
        <f>IF(AND(G14="-",J14="-"),"-",SUM(G14:J14))</f>
        <v>62.216999999999999</v>
      </c>
      <c r="L14" s="652"/>
    </row>
    <row r="15" spans="1:12" ht="15" thickBot="1"/>
    <row r="16" spans="1:12" ht="28.5" customHeight="1">
      <c r="C16" s="632" t="s">
        <v>4337</v>
      </c>
      <c r="D16" s="633"/>
      <c r="E16" s="633"/>
      <c r="F16" s="634"/>
      <c r="G16" s="843" t="s">
        <v>4336</v>
      </c>
      <c r="H16" s="844"/>
      <c r="I16" s="844"/>
      <c r="J16" s="844"/>
      <c r="K16" s="845"/>
    </row>
    <row r="17" spans="3:12">
      <c r="C17" s="635">
        <v>30</v>
      </c>
      <c r="D17" s="636"/>
      <c r="E17" s="636"/>
      <c r="F17" s="637"/>
      <c r="G17" s="635" t="s">
        <v>4586</v>
      </c>
      <c r="H17" s="636"/>
      <c r="I17" s="636"/>
      <c r="J17" s="299" t="s">
        <v>4588</v>
      </c>
      <c r="K17" s="300" t="s">
        <v>4589</v>
      </c>
    </row>
    <row r="18" spans="3:12" ht="15" thickBot="1">
      <c r="C18" s="286" t="s">
        <v>1</v>
      </c>
      <c r="D18" s="555" t="s">
        <v>4585</v>
      </c>
      <c r="E18" s="555"/>
      <c r="F18" s="842"/>
      <c r="G18" s="629" t="s">
        <v>4587</v>
      </c>
      <c r="H18" s="630"/>
      <c r="I18" s="630"/>
      <c r="J18" s="293" t="s">
        <v>4587</v>
      </c>
      <c r="K18" s="301" t="s">
        <v>4587</v>
      </c>
    </row>
    <row r="19" spans="3:12" ht="30" customHeight="1">
      <c r="C19" s="807"/>
      <c r="D19" s="808"/>
      <c r="E19" s="808"/>
      <c r="F19" s="809"/>
      <c r="G19" s="867" t="s">
        <v>3823</v>
      </c>
      <c r="H19" s="867"/>
      <c r="I19" s="867"/>
      <c r="J19" s="196" t="b">
        <v>0</v>
      </c>
      <c r="K19" s="126"/>
    </row>
    <row r="20" spans="3:12" ht="30">
      <c r="C20" s="127"/>
      <c r="D20" s="735" t="s">
        <v>18</v>
      </c>
      <c r="E20" s="735"/>
      <c r="F20" s="813"/>
      <c r="G20" s="734" t="s">
        <v>4288</v>
      </c>
      <c r="H20" s="735"/>
      <c r="I20" s="735"/>
      <c r="J20" s="6" t="s">
        <v>4289</v>
      </c>
      <c r="K20" s="55" t="s">
        <v>4313</v>
      </c>
    </row>
    <row r="21" spans="3:12" ht="15">
      <c r="C21" s="68" t="s">
        <v>3631</v>
      </c>
      <c r="D21" s="814" t="str">
        <f>IF('General Information'!$D$9="", "-", 'General Information'!$D$9) &amp; "  -  " &amp; IF('General Information'!$D$13="", "-", 'General Information'!$D$13)</f>
        <v>2024-01-01  -  2024-12-31</v>
      </c>
      <c r="E21" s="814"/>
      <c r="F21" s="815"/>
      <c r="G21" s="717"/>
      <c r="H21" s="718"/>
      <c r="I21" s="718"/>
      <c r="J21" s="165"/>
      <c r="K21" s="129"/>
      <c r="L21" s="16" t="str">
        <f>IF(AND(J19=TRUE,G21&lt;&gt;"",J21&lt;&gt;""),"OK",IF(AND(J19=TRUE,G21="",J21=""),"MISSING VALUE",IF(AND(J19=FALSE,G21="",J21=""),"",IF(AND(J19=TRUE,OR(G21="",J21="")),"MISSING VALUE",""))))</f>
        <v/>
      </c>
    </row>
    <row r="22" spans="3:12" ht="15">
      <c r="C22" s="4" t="s">
        <v>4290</v>
      </c>
      <c r="D22" s="818">
        <v>48.527999999999999</v>
      </c>
      <c r="E22" s="818"/>
      <c r="F22" s="819"/>
      <c r="G22" s="719"/>
      <c r="H22" s="720"/>
      <c r="I22" s="720"/>
      <c r="J22" s="312"/>
      <c r="K22" s="130" t="str">
        <f>IF(AND(G22="", J22=""), "-", IFERROR(-(1 - (J22 / G22)), "-"))</f>
        <v>-</v>
      </c>
      <c r="L22" s="16" t="str">
        <f>IF(AND(OR(BasisForPreparation="Option A (Basic Module Only)",BasisForPreparation="Option B (Basic Module and Comprehensive Module)"),D22="",J19=FALSE),"MISSING VALUE",
IF(AND(OR(BasisForPreparation="Option A (Basic Module Only)",BasisForPreparation="Option B (Basic Module and Comprehensive Module)"),D22&lt;&gt;"",G22&lt;&gt;"",J22&lt;&gt;"",J19=TRUE),"OK",
IF(AND(BasisForPreparation="Option A (Basic Module Only)",D22&lt;&gt;"",OR(G22="",J22=""),J19=FALSE),"OK",
IF(AND(BasisForPreparation="Option A (Basic Module Only)",D22&lt;&gt;"",OR(G22="",J22=""),J19=TRUE),"MISSING VALUE",
IF(AND(BasisForPreparation="Option B (Basic Module and Comprehensive Module)",D22&lt;&gt;"",OR(G22="",J22=""),J19=TRUE),"MISSING VALUE",
IF(AND(BasisForPreparation="Option B (Basic Module and Comprehensive Module)",D22="",OR(G22="",J22=""),J19=TRUE),"MISSING VALUE",
IF(AND(BasisForPreparation="Option A (Basic Module Only)",D22&lt;&gt;"",G22="",J22="",J19=FALSE),"OK",
IF(AND(BasisForPreparation="Option B (Basic Module and Comprehensive Module)",D22&lt;&gt;"",G22="",J22="",J19=FALSE),"OK",
IF(OR(BasisForPreparation="",D22="",G22="",J22="",J19=FALSE),"","MISSING VALUE")))))))))</f>
        <v>OK</v>
      </c>
    </row>
    <row r="23" spans="3:12" ht="15">
      <c r="C23" s="4" t="s">
        <v>4291</v>
      </c>
      <c r="D23" s="822">
        <v>151.53299999999999</v>
      </c>
      <c r="E23" s="823"/>
      <c r="F23" s="824"/>
      <c r="G23" s="719"/>
      <c r="H23" s="720"/>
      <c r="I23" s="720"/>
      <c r="J23" s="312"/>
      <c r="K23" s="130" t="str">
        <f t="shared" ref="K23:K26" si="0">IF(AND(G23="", J23=""), "-", IFERROR(-(1 - (J23 / G23)), "-"))</f>
        <v>-</v>
      </c>
      <c r="L23" s="16" t="str">
        <f>IF(AND(OR(BasisForPreparation="Option A (Basic Module Only)",BasisForPreparation="Option B (Basic Module and Comprehensive Module)"),D23="",J19=FALSE),"MISSING VALUE",
IF(AND(OR(BasisForPreparation="Option A (Basic Module Only)",BasisForPreparation="Option B (Basic Module and Comprehensive Module)"),D23&lt;&gt;"",G23&lt;&gt;"",J23&lt;&gt;"",J19=TRUE),"OK",
IF(AND(BasisForPreparation="Option A (Basic Module Only)",D23&lt;&gt;"",OR(G23="",J23=""),J19=FALSE),"OK",
IF(AND(BasisForPreparation="Option A (Basic Module Only)",D23&lt;&gt;"",OR(G23="",J23=""),J19=TRUE),"MISSING VALUE",
IF(AND(BasisForPreparation="Option B (Basic Module and Comprehensive Module)",D23&lt;&gt;"",OR(G23="",J23=""),J19=TRUE),"MISSING VALUE",
IF(AND(BasisForPreparation="Option B (Basic Module and Comprehensive Module)",D23="",OR(G23="",J23=""),J19=TRUE),"MISSING VALUE",
IF(AND(BasisForPreparation="Option A (Basic Module Only)",D23&lt;&gt;"",G23="",J23="",J19=FALSE),"OK",
IF(AND(BasisForPreparation="Option B (Basic Module and Comprehensive Module)",D23&lt;&gt;"",G23="",J23="",J19=FALSE),"OK",
IF(OR(BasisForPreparation="",D23="",G23="",J23="",J19=FALSE),"","MISSING VALUE")))))))))</f>
        <v>OK</v>
      </c>
    </row>
    <row r="24" spans="3:12" ht="15">
      <c r="C24" s="4" t="s">
        <v>4292</v>
      </c>
      <c r="D24" s="818">
        <v>-15.1</v>
      </c>
      <c r="E24" s="818"/>
      <c r="F24" s="819"/>
      <c r="G24" s="719"/>
      <c r="H24" s="720"/>
      <c r="I24" s="720"/>
      <c r="J24" s="312"/>
      <c r="K24" s="130" t="str">
        <f t="shared" si="0"/>
        <v>-</v>
      </c>
      <c r="L24" s="16" t="str">
        <f>IF(D24&lt;&gt;"", IF(AND(G24="", J24=""), "OK", IF(AND(G24&lt;&gt;"", J24=""), "MISSING VALUE", "OK")), "")</f>
        <v>OK</v>
      </c>
    </row>
    <row r="25" spans="3:12">
      <c r="C25" s="13" t="s">
        <v>4293</v>
      </c>
      <c r="D25" s="722">
        <f>IF(AND(D22="",D23=""),"-",SUM(D22,D23))</f>
        <v>200.06099999999998</v>
      </c>
      <c r="E25" s="722"/>
      <c r="F25" s="738"/>
      <c r="G25" s="723" t="str">
        <f>IF(AND(G22="",G23=""),"-",SUM(G22,G23))</f>
        <v>-</v>
      </c>
      <c r="H25" s="722"/>
      <c r="I25" s="722"/>
      <c r="J25" s="315" t="str">
        <f>IF(AND(J22="",J23=""),"-",SUM(J22,J23))</f>
        <v>-</v>
      </c>
      <c r="K25" s="130" t="str">
        <f t="shared" si="0"/>
        <v>-</v>
      </c>
    </row>
    <row r="26" spans="3:12" ht="15.75" thickBot="1">
      <c r="C26" s="5" t="s">
        <v>4294</v>
      </c>
      <c r="D26" s="751">
        <f>IF(OR(D22="",D24=""),"-",SUM(D22,D24))</f>
        <v>33.427999999999997</v>
      </c>
      <c r="E26" s="724"/>
      <c r="F26" s="752"/>
      <c r="G26" s="724" t="str">
        <f>IF(OR(G22="",G24=""),"-",SUM(G22,G24))</f>
        <v>-</v>
      </c>
      <c r="H26" s="724"/>
      <c r="I26" s="725"/>
      <c r="J26" s="316" t="str">
        <f>IF(OR(J22="",J24=""),"-",SUM(J22,J24))</f>
        <v>-</v>
      </c>
      <c r="K26" s="130" t="str">
        <f t="shared" si="0"/>
        <v>-</v>
      </c>
    </row>
    <row r="27" spans="3:12">
      <c r="C27" s="821" t="s">
        <v>4590</v>
      </c>
      <c r="D27" s="726"/>
      <c r="E27" s="726"/>
      <c r="F27" s="726"/>
      <c r="G27" s="726">
        <v>54</v>
      </c>
      <c r="H27" s="726"/>
      <c r="I27" s="726"/>
      <c r="J27" s="726"/>
      <c r="K27" s="131"/>
    </row>
    <row r="28" spans="3:12" ht="15" thickBot="1">
      <c r="C28" s="286" t="s">
        <v>1</v>
      </c>
      <c r="D28" s="555" t="s">
        <v>4591</v>
      </c>
      <c r="E28" s="555"/>
      <c r="F28" s="555"/>
      <c r="G28" s="727" t="s">
        <v>1</v>
      </c>
      <c r="H28" s="727"/>
      <c r="I28" s="727"/>
      <c r="J28" s="287" t="s">
        <v>1</v>
      </c>
      <c r="K28" s="132"/>
    </row>
    <row r="29" spans="3:12" ht="22.15" customHeight="1">
      <c r="C29" s="810" t="s">
        <v>4479</v>
      </c>
      <c r="D29" s="811"/>
      <c r="E29" s="811"/>
      <c r="F29" s="812"/>
      <c r="G29" s="793" t="b">
        <v>0</v>
      </c>
      <c r="H29" s="794"/>
      <c r="I29" s="794"/>
      <c r="J29" s="794"/>
      <c r="K29" s="795"/>
    </row>
    <row r="30" spans="3:12">
      <c r="C30" s="122" t="s">
        <v>4319</v>
      </c>
      <c r="D30" s="647"/>
      <c r="E30" s="647"/>
      <c r="F30" s="617"/>
      <c r="G30" s="676"/>
      <c r="H30" s="647"/>
      <c r="I30" s="647"/>
      <c r="J30" s="317"/>
      <c r="K30" s="345" t="str">
        <f>IF(OR(G30="", J30=""), "-", IFERROR(-(1 - (J30 / G30)), "-"))</f>
        <v>-</v>
      </c>
      <c r="L30" s="677" t="str" cm="1">
        <f t="array" ref="L30">IF(
   OR(
      SUMPRODUCT((G30:G44&lt;&gt;"")*(J30:J44="")) &gt; 0,
      SUMPRODUCT((J30:J44&lt;&gt;"")*(G30:G44="")) &gt; 0
   ),
   "MISSING VALUE",
   IF(
      AND(G29=TRUE, COUNTA(D30:F44)=0),
      "MISSING VALUE",
      IF(G29=FALSE, "", "OK")
   )
)</f>
        <v/>
      </c>
    </row>
    <row r="31" spans="3:12">
      <c r="C31" s="122" t="s">
        <v>4320</v>
      </c>
      <c r="D31" s="647"/>
      <c r="E31" s="647"/>
      <c r="F31" s="617"/>
      <c r="G31" s="676"/>
      <c r="H31" s="647"/>
      <c r="I31" s="647"/>
      <c r="J31" s="317"/>
      <c r="K31" s="345" t="str">
        <f t="shared" ref="K31:K44" si="1">IF(OR(G31="", J31=""), "-", IFERROR(-(1 - (J31 / G31)), "-"))</f>
        <v>-</v>
      </c>
      <c r="L31" s="677"/>
    </row>
    <row r="32" spans="3:12">
      <c r="C32" s="122" t="s">
        <v>4345</v>
      </c>
      <c r="D32" s="647"/>
      <c r="E32" s="647"/>
      <c r="F32" s="617"/>
      <c r="G32" s="676"/>
      <c r="H32" s="647"/>
      <c r="I32" s="647"/>
      <c r="J32" s="317"/>
      <c r="K32" s="345" t="str">
        <f t="shared" si="1"/>
        <v>-</v>
      </c>
      <c r="L32" s="677"/>
    </row>
    <row r="33" spans="3:12">
      <c r="C33" s="122" t="s">
        <v>4321</v>
      </c>
      <c r="D33" s="647"/>
      <c r="E33" s="647"/>
      <c r="F33" s="617"/>
      <c r="G33" s="676"/>
      <c r="H33" s="647"/>
      <c r="I33" s="647"/>
      <c r="J33" s="317"/>
      <c r="K33" s="345" t="str">
        <f t="shared" si="1"/>
        <v>-</v>
      </c>
      <c r="L33" s="677"/>
    </row>
    <row r="34" spans="3:12">
      <c r="C34" s="122" t="s">
        <v>4322</v>
      </c>
      <c r="D34" s="647"/>
      <c r="E34" s="647"/>
      <c r="F34" s="617"/>
      <c r="G34" s="676"/>
      <c r="H34" s="647"/>
      <c r="I34" s="647"/>
      <c r="J34" s="317"/>
      <c r="K34" s="345" t="str">
        <f t="shared" si="1"/>
        <v>-</v>
      </c>
      <c r="L34" s="677"/>
    </row>
    <row r="35" spans="3:12">
      <c r="C35" s="122" t="s">
        <v>4323</v>
      </c>
      <c r="D35" s="647"/>
      <c r="E35" s="647"/>
      <c r="F35" s="617"/>
      <c r="G35" s="676"/>
      <c r="H35" s="647"/>
      <c r="I35" s="647"/>
      <c r="J35" s="317"/>
      <c r="K35" s="345" t="str">
        <f t="shared" si="1"/>
        <v>-</v>
      </c>
      <c r="L35" s="677"/>
    </row>
    <row r="36" spans="3:12">
      <c r="C36" s="122" t="s">
        <v>4324</v>
      </c>
      <c r="D36" s="647"/>
      <c r="E36" s="647"/>
      <c r="F36" s="617"/>
      <c r="G36" s="676"/>
      <c r="H36" s="647"/>
      <c r="I36" s="647"/>
      <c r="J36" s="317"/>
      <c r="K36" s="345" t="str">
        <f t="shared" si="1"/>
        <v>-</v>
      </c>
      <c r="L36" s="677"/>
    </row>
    <row r="37" spans="3:12">
      <c r="C37" s="122" t="s">
        <v>4325</v>
      </c>
      <c r="D37" s="647"/>
      <c r="E37" s="647"/>
      <c r="F37" s="617"/>
      <c r="G37" s="676"/>
      <c r="H37" s="647"/>
      <c r="I37" s="647"/>
      <c r="J37" s="317"/>
      <c r="K37" s="345" t="str">
        <f t="shared" si="1"/>
        <v>-</v>
      </c>
      <c r="L37" s="677"/>
    </row>
    <row r="38" spans="3:12">
      <c r="C38" s="122" t="s">
        <v>4326</v>
      </c>
      <c r="D38" s="647"/>
      <c r="E38" s="647"/>
      <c r="F38" s="617"/>
      <c r="G38" s="676"/>
      <c r="H38" s="647"/>
      <c r="I38" s="647"/>
      <c r="J38" s="317"/>
      <c r="K38" s="345" t="str">
        <f t="shared" si="1"/>
        <v>-</v>
      </c>
      <c r="L38" s="677"/>
    </row>
    <row r="39" spans="3:12">
      <c r="C39" s="122" t="s">
        <v>4327</v>
      </c>
      <c r="D39" s="647"/>
      <c r="E39" s="647"/>
      <c r="F39" s="617"/>
      <c r="G39" s="676"/>
      <c r="H39" s="647"/>
      <c r="I39" s="647"/>
      <c r="J39" s="317"/>
      <c r="K39" s="345" t="str">
        <f t="shared" si="1"/>
        <v>-</v>
      </c>
      <c r="L39" s="677"/>
    </row>
    <row r="40" spans="3:12">
      <c r="C40" s="122" t="s">
        <v>4328</v>
      </c>
      <c r="D40" s="647"/>
      <c r="E40" s="647"/>
      <c r="F40" s="617"/>
      <c r="G40" s="676"/>
      <c r="H40" s="647"/>
      <c r="I40" s="647"/>
      <c r="J40" s="317"/>
      <c r="K40" s="345" t="str">
        <f t="shared" si="1"/>
        <v>-</v>
      </c>
      <c r="L40" s="677"/>
    </row>
    <row r="41" spans="3:12">
      <c r="C41" s="122" t="s">
        <v>4329</v>
      </c>
      <c r="D41" s="647"/>
      <c r="E41" s="647"/>
      <c r="F41" s="617"/>
      <c r="G41" s="676"/>
      <c r="H41" s="647"/>
      <c r="I41" s="647"/>
      <c r="J41" s="317"/>
      <c r="K41" s="345" t="str">
        <f t="shared" si="1"/>
        <v>-</v>
      </c>
      <c r="L41" s="677"/>
    </row>
    <row r="42" spans="3:12">
      <c r="C42" s="122" t="s">
        <v>4330</v>
      </c>
      <c r="D42" s="647"/>
      <c r="E42" s="647"/>
      <c r="F42" s="617"/>
      <c r="G42" s="676"/>
      <c r="H42" s="647"/>
      <c r="I42" s="647"/>
      <c r="J42" s="317"/>
      <c r="K42" s="345" t="str">
        <f t="shared" si="1"/>
        <v>-</v>
      </c>
      <c r="L42" s="677"/>
    </row>
    <row r="43" spans="3:12">
      <c r="C43" s="122" t="s">
        <v>4331</v>
      </c>
      <c r="D43" s="647"/>
      <c r="E43" s="647"/>
      <c r="F43" s="617"/>
      <c r="G43" s="676"/>
      <c r="H43" s="647"/>
      <c r="I43" s="647"/>
      <c r="J43" s="317"/>
      <c r="K43" s="345" t="str">
        <f t="shared" si="1"/>
        <v>-</v>
      </c>
      <c r="L43" s="677"/>
    </row>
    <row r="44" spans="3:12">
      <c r="C44" s="122" t="s">
        <v>4332</v>
      </c>
      <c r="D44" s="647"/>
      <c r="E44" s="647"/>
      <c r="F44" s="617"/>
      <c r="G44" s="676"/>
      <c r="H44" s="647"/>
      <c r="I44" s="647"/>
      <c r="J44" s="317"/>
      <c r="K44" s="345" t="str">
        <f t="shared" si="1"/>
        <v>-</v>
      </c>
      <c r="L44" s="677"/>
    </row>
    <row r="45" spans="3:12" ht="15.75" thickBot="1">
      <c r="C45" s="133" t="s">
        <v>4365</v>
      </c>
      <c r="D45" s="623" t="str">
        <f>IF(AND(G29=FALSE, COUNTA(D30:F44)=0), "-", IF(G29=TRUE, IF(SUM(D30:F44)=0, "-", SUM(D30:F44)), "-"))</f>
        <v>-</v>
      </c>
      <c r="E45" s="623"/>
      <c r="F45" s="820"/>
      <c r="G45" s="728" t="str">
        <f>IF(AND(G29=FALSE, COUNTA(G30:I44)=0), "-", IF(G29=TRUE, IF(SUM(G30:I44)=0, "-", SUM(G30:I44)), "-"))</f>
        <v>-</v>
      </c>
      <c r="H45" s="623"/>
      <c r="I45" s="623"/>
      <c r="J45" s="318" t="str">
        <f>IF(AND(G29=FALSE, COUNTA(J30:J44)=0), "-", IF(G29=TRUE, IF(SUM(J30:J44)=0, "-", SUM(J30:J44)), "-"))</f>
        <v>-</v>
      </c>
      <c r="K45" s="256" t="str">
        <f t="shared" ref="K45:K47" si="2">IF(AND(G45="", J45=""), "-", IFERROR(-(1 - (J45 / G45)), "-"))</f>
        <v>-</v>
      </c>
      <c r="L45" s="16"/>
    </row>
    <row r="46" spans="3:12">
      <c r="C46" s="13" t="s">
        <v>4295</v>
      </c>
      <c r="D46" s="722" t="str">
        <f>IF(G29=FALSE, "-", IF(AND(D22="", D23="", D45=""), "-", IF(SUM(D22, D23, D45)=0, "-", SUM(D22, D23, D45))))</f>
        <v>-</v>
      </c>
      <c r="E46" s="722"/>
      <c r="F46" s="738"/>
      <c r="G46" s="721" t="str">
        <f>IF(G29=FALSE, "-", IF(AND(G22="", G23="", G45=""), "-", IF(SUM(G22, G23, G45)=0, "-", SUM(G22, G23, G45))))</f>
        <v>-</v>
      </c>
      <c r="H46" s="722"/>
      <c r="I46" s="722"/>
      <c r="J46" s="314" t="str">
        <f>IF(G29=FALSE, "-", IF(AND(J22="", J23="", J45=""), "-", IF(SUM(J22, J23, J45)=0, "-", SUM(J22, J23, J45))))</f>
        <v>-</v>
      </c>
      <c r="K46" s="257" t="str">
        <f t="shared" si="2"/>
        <v>-</v>
      </c>
    </row>
    <row r="47" spans="3:12" ht="15.75" thickBot="1">
      <c r="C47" s="134" t="s">
        <v>4360</v>
      </c>
      <c r="D47" s="751" t="str">
        <f>IF(G29=FALSE,"-",IF(OR(D22="",D24="",D45=""),"-",SUM(D22,D24,D45)))</f>
        <v>-</v>
      </c>
      <c r="E47" s="724"/>
      <c r="F47" s="752"/>
      <c r="G47" s="753" t="str">
        <f>IF(G29=FALSE, "-", IF(OR(G22="", G24="", G45=""), "-", IF(SUM(G22, G24, G45)=0, "-", SUM(G22, G24, G45))))</f>
        <v>-</v>
      </c>
      <c r="H47" s="724"/>
      <c r="I47" s="725"/>
      <c r="J47" s="316" t="str">
        <f>IF(G29=FALSE, "-", IF(OR(J22="", J24="", J45=""), "-", IF(SUM(J22, J24, J45)=0, "-", SUM(J22, J24, J45))))</f>
        <v>-</v>
      </c>
      <c r="K47" s="256" t="str">
        <f t="shared" si="2"/>
        <v>-</v>
      </c>
    </row>
    <row r="48" spans="3:12" ht="15" thickBot="1">
      <c r="C48" s="135"/>
      <c r="D48" s="135"/>
      <c r="E48" s="135"/>
      <c r="F48" s="135"/>
      <c r="G48" s="135"/>
      <c r="H48" s="135"/>
      <c r="I48" s="135"/>
      <c r="J48" s="135"/>
      <c r="K48" s="135"/>
    </row>
    <row r="49" spans="1:12" ht="15">
      <c r="C49" s="746" t="str">
        <f xml:space="preserve"> "C3 - Disclosure of list of main actions the entity seeks in order to achieve its targets " &amp; template_reporting_period_display &amp; " [If applicable]"</f>
        <v>C3 - Disclosure of list of main actions the entity seeks in order to achieve its targets from 2024-01-01 to 2024-12-31 [If applicable]</v>
      </c>
      <c r="D49" s="746"/>
      <c r="E49" s="746"/>
      <c r="F49" s="746"/>
      <c r="G49" s="746"/>
      <c r="H49" s="746"/>
      <c r="I49" s="746"/>
      <c r="J49" s="746"/>
      <c r="K49" s="747"/>
      <c r="L49" s="8"/>
    </row>
    <row r="50" spans="1:12">
      <c r="C50" s="515" t="s">
        <v>4592</v>
      </c>
      <c r="D50" s="515"/>
      <c r="E50" s="515"/>
      <c r="F50" s="515"/>
      <c r="G50" s="515"/>
      <c r="H50" s="515"/>
      <c r="I50" s="515"/>
      <c r="J50" s="515"/>
      <c r="K50" s="684"/>
    </row>
    <row r="51" spans="1:12">
      <c r="C51" s="709">
        <v>223</v>
      </c>
      <c r="D51" s="709"/>
      <c r="E51" s="709"/>
      <c r="F51" s="709"/>
      <c r="G51" s="709"/>
      <c r="H51" s="709"/>
      <c r="I51" s="709"/>
      <c r="J51" s="709"/>
      <c r="K51" s="709"/>
      <c r="L51" s="8"/>
    </row>
    <row r="52" spans="1:12" ht="15.75" thickBot="1">
      <c r="C52" s="744"/>
      <c r="D52" s="744"/>
      <c r="E52" s="744"/>
      <c r="F52" s="744"/>
      <c r="G52" s="744"/>
      <c r="H52" s="744"/>
      <c r="I52" s="744"/>
      <c r="J52" s="744"/>
      <c r="K52" s="745"/>
      <c r="L52" s="125" t="str">
        <f>IF(AND(J19=TRUE,C52&lt;&gt;""),"OK",IF(AND(J19=TRUE,C52=""),"MISSING VALUE",""))</f>
        <v/>
      </c>
    </row>
    <row r="54" spans="1:12" ht="15" thickBot="1">
      <c r="C54" s="9"/>
      <c r="D54" s="9"/>
      <c r="E54" s="9"/>
      <c r="F54" s="9"/>
      <c r="G54" s="9"/>
      <c r="H54" s="9"/>
      <c r="I54" s="9"/>
      <c r="J54" s="9"/>
      <c r="K54" s="9"/>
    </row>
    <row r="55" spans="1:12" ht="15">
      <c r="C55" s="746" t="str">
        <f xml:space="preserve"> "C3 - Transition plan for undertakings operating in high climate impact sectors " &amp; template_reporting_period_display &amp; " [If applicable]"</f>
        <v>C3 - Transition plan for undertakings operating in high climate impact sectors from 2024-01-01 to 2024-12-31 [If applicable]</v>
      </c>
      <c r="D55" s="746"/>
      <c r="E55" s="746"/>
      <c r="F55" s="746"/>
      <c r="G55" s="746"/>
      <c r="H55" s="746"/>
      <c r="I55" s="746"/>
      <c r="J55" s="746"/>
      <c r="K55" s="841"/>
    </row>
    <row r="56" spans="1:12" ht="38.450000000000003" customHeight="1">
      <c r="A56" s="293">
        <v>55</v>
      </c>
      <c r="B56" s="295" t="s">
        <v>4560</v>
      </c>
      <c r="C56" s="122" t="s">
        <v>3824</v>
      </c>
      <c r="D56" s="763" t="b">
        <f>OR(
  ISNUMBER(MATCH('General Information'!E45, 'Enumeration Lists'!D3:D677, 0)),
  ISNUMBER(MATCH('General Information'!E46, 'Enumeration Lists'!D3:D677, 0)),
  ISNUMBER(MATCH('General Information'!E47, 'Enumeration Lists'!D3:D677, 0)),
  ISNUMBER(MATCH('General Information'!E48, 'Enumeration Lists'!D3:D677, 0)),
  ISNUMBER(MATCH('General Information'!E49, 'Enumeration Lists'!D3:D677, 0)),
  ISNUMBER(MATCH('General Information'!E45, 'Enumeration Lists'!D782:D791, 0)),
  ISNUMBER(MATCH('General Information'!E46, 'Enumeration Lists'!D782:D791, 0)),
  ISNUMBER(MATCH('General Information'!E47, 'Enumeration Lists'!D782:D791, 0)),
  ISNUMBER(MATCH('General Information'!E48, 'Enumeration Lists'!D782:D791, 0)),
  ISNUMBER(MATCH('General Information'!E49, 'Enumeration Lists'!D782:D791, 0))
)</f>
        <v>1</v>
      </c>
      <c r="E56" s="764"/>
      <c r="F56" s="764"/>
      <c r="G56" s="764"/>
      <c r="H56" s="764"/>
      <c r="I56" s="764"/>
      <c r="J56" s="764"/>
      <c r="K56" s="765"/>
      <c r="L56" s="16"/>
    </row>
    <row r="57" spans="1:12" ht="15">
      <c r="A57" s="299">
        <v>55</v>
      </c>
      <c r="B57" s="295" t="s">
        <v>4560</v>
      </c>
      <c r="C57" s="122" t="s">
        <v>4314</v>
      </c>
      <c r="D57" s="739"/>
      <c r="E57" s="740"/>
      <c r="F57" s="740"/>
      <c r="G57" s="740"/>
      <c r="H57" s="740"/>
      <c r="I57" s="740"/>
      <c r="J57" s="740"/>
      <c r="K57" s="741"/>
      <c r="L57" s="16" t="str">
        <f>IF(AND(OR(D57="A transition plan has already been adopted", D57="Adoption of a transition plan is planned in the future"), D56=TRUE),
   "OK",
   IF(AND(BasisForPreparation="Option B (Basic Module and Comprehensive Module)", D57="", D56=TRUE),
      "MISSING VALUE",
      "")
)</f>
        <v/>
      </c>
    </row>
    <row r="58" spans="1:12" ht="29.25">
      <c r="A58" s="299">
        <v>55</v>
      </c>
      <c r="B58" s="295" t="s">
        <v>4560</v>
      </c>
      <c r="C58" s="136" t="s">
        <v>3836</v>
      </c>
      <c r="D58" s="742"/>
      <c r="E58" s="742"/>
      <c r="F58" s="742"/>
      <c r="G58" s="742"/>
      <c r="H58" s="742"/>
      <c r="I58" s="742"/>
      <c r="J58" s="742"/>
      <c r="K58" s="743"/>
      <c r="L58" s="16" t="str">
        <f>IF(AND(D57="A transition plan has already been adopted",DescriptionOfATransitionPlanForClimateChangeMitigationIncludingAnExplanationOfHowItIsContributingToReduceGhgEmissions&lt;&gt;""),"OK","")</f>
        <v/>
      </c>
    </row>
    <row r="59" spans="1:12">
      <c r="A59" s="876">
        <v>56</v>
      </c>
      <c r="B59" s="842" t="s">
        <v>4560</v>
      </c>
      <c r="C59" s="754" t="s">
        <v>4300</v>
      </c>
      <c r="D59" s="883" t="s">
        <v>3751</v>
      </c>
      <c r="E59" s="884"/>
      <c r="F59" s="884"/>
      <c r="G59" s="884"/>
      <c r="H59" s="885"/>
      <c r="I59" s="886"/>
      <c r="J59" s="887"/>
      <c r="K59" s="888"/>
      <c r="L59" s="652" t="str">
        <f>IF(AND(D57="A transition plan has already been adopted",OR(I59="",I60="",I61="")),
"",IF(AND(D57="Adoption of a transition plan is planned in the future",OR(I59="",I60="",I61="")),
"MISSING VALUE",IF(AND(D57="",OR(I59="",I60="",I61="")),
"",
IF(OR(
AND(I60=2,I61&gt;29),
AND(I60=2,I61=29,NOT(AND(MOD(I59,4)=0,OR(MOD(I59,100)&lt;&gt;0,MOD(I59,400)=0)))),
AND(OR(I60=4,I60=6,I60=9,I60=11),I61=31)
),
"ERROR",
"OK")
)))</f>
        <v/>
      </c>
    </row>
    <row r="60" spans="1:12">
      <c r="A60" s="877"/>
      <c r="B60" s="879"/>
      <c r="C60" s="881"/>
      <c r="D60" s="883" t="s">
        <v>3752</v>
      </c>
      <c r="E60" s="884"/>
      <c r="F60" s="884"/>
      <c r="G60" s="884"/>
      <c r="H60" s="885"/>
      <c r="I60" s="886"/>
      <c r="J60" s="887"/>
      <c r="K60" s="888"/>
      <c r="L60" s="652"/>
    </row>
    <row r="61" spans="1:12">
      <c r="A61" s="877"/>
      <c r="B61" s="879"/>
      <c r="C61" s="881"/>
      <c r="D61" s="883" t="s">
        <v>4646</v>
      </c>
      <c r="E61" s="884"/>
      <c r="F61" s="884"/>
      <c r="G61" s="884"/>
      <c r="H61" s="885"/>
      <c r="I61" s="886"/>
      <c r="J61" s="887"/>
      <c r="K61" s="888"/>
      <c r="L61" s="652"/>
    </row>
    <row r="62" spans="1:12" ht="15.75" thickBot="1">
      <c r="A62" s="878"/>
      <c r="B62" s="880"/>
      <c r="C62" s="882"/>
      <c r="D62" s="761" t="str">
        <f>IF(OR(ISBLANK(I59), ISBLANK(I60), ISBLANK(I61)), "-", I59 &amp; "-" &amp; TEXT(I60, "00") &amp; "-" &amp; TEXT(I61, "00"))</f>
        <v>-</v>
      </c>
      <c r="E62" s="761"/>
      <c r="F62" s="761"/>
      <c r="G62" s="761"/>
      <c r="H62" s="761"/>
      <c r="I62" s="761"/>
      <c r="J62" s="761"/>
      <c r="K62" s="762"/>
      <c r="L62" s="440"/>
    </row>
    <row r="63" spans="1:12" ht="15" thickBot="1"/>
    <row r="64" spans="1:12" ht="14.85" customHeight="1">
      <c r="C64" s="500" t="str">
        <f xml:space="preserve"> "B3 - Greenhouse gas emission intensity per turnover (in tCO2e/" &amp; template_currency &amp; ") " &amp; template_reporting_period_display &amp; " [Always to be reported]"</f>
        <v>B3 - Greenhouse gas emission intensity per turnover (in tCO2e/EUR) from 2024-01-01 to 2024-12-31 [Always to be reported]</v>
      </c>
      <c r="D64" s="500"/>
      <c r="E64" s="500"/>
      <c r="F64" s="500"/>
      <c r="G64" s="500"/>
      <c r="H64" s="500"/>
      <c r="I64" s="500"/>
      <c r="J64" s="500"/>
      <c r="K64" s="840"/>
    </row>
    <row r="65" spans="3:12" ht="14.85" customHeight="1">
      <c r="C65" s="838">
        <v>31</v>
      </c>
      <c r="D65" s="838"/>
      <c r="E65" s="838"/>
      <c r="F65" s="838"/>
      <c r="G65" s="838"/>
      <c r="H65" s="838"/>
      <c r="I65" s="838"/>
      <c r="J65" s="838"/>
      <c r="K65" s="839"/>
    </row>
    <row r="66" spans="3:12">
      <c r="C66" s="495" t="s">
        <v>4304</v>
      </c>
      <c r="D66" s="496"/>
      <c r="E66" s="496"/>
      <c r="F66" s="496"/>
      <c r="G66" s="836">
        <f>IF(G29=TRUE,
   "-",
   IFERROR(
      IF(OR(D25="", Turnover=""), "-", D25/Turnover),
      "-"
   )
)</f>
        <v>8.2639592717640179E-6</v>
      </c>
      <c r="H66" s="836"/>
      <c r="I66" s="836"/>
      <c r="J66" s="836"/>
      <c r="K66" s="837"/>
    </row>
    <row r="67" spans="3:12">
      <c r="C67" s="754" t="s">
        <v>4305</v>
      </c>
      <c r="D67" s="755"/>
      <c r="E67" s="755"/>
      <c r="F67" s="755"/>
      <c r="G67" s="756">
        <f>IF(G29=TRUE,
   "-",
   IFERROR(
      IF(OR(D26="", Turnover=""), "-", D26/Turnover),
      "-"
   )
)</f>
        <v>1.3808170034965715E-6</v>
      </c>
      <c r="H67" s="756"/>
      <c r="I67" s="756"/>
      <c r="J67" s="756"/>
      <c r="K67" s="757"/>
    </row>
    <row r="68" spans="3:12">
      <c r="C68" s="495" t="s">
        <v>4306</v>
      </c>
      <c r="D68" s="496"/>
      <c r="E68" s="496"/>
      <c r="F68" s="816"/>
      <c r="G68" s="748" t="str">
        <f>IF(G29=FALSE,
   "-",
   IFERROR(
      IF(OR(D46="", Turnover=""), "-", D46/Turnover),
      "-"
   )
)</f>
        <v>-</v>
      </c>
      <c r="H68" s="749"/>
      <c r="I68" s="749"/>
      <c r="J68" s="749"/>
      <c r="K68" s="750"/>
    </row>
    <row r="69" spans="3:12" ht="15" thickBot="1">
      <c r="C69" s="484" t="s">
        <v>4364</v>
      </c>
      <c r="D69" s="485"/>
      <c r="E69" s="485"/>
      <c r="F69" s="817"/>
      <c r="G69" s="729" t="str">
        <f>IF(G29=FALSE,
   "-",
   IFERROR(
      IF(OR(D47="", Turnover=""), "-", D47/Turnover),
      "-"
   )
)</f>
        <v>-</v>
      </c>
      <c r="H69" s="730"/>
      <c r="I69" s="730"/>
      <c r="J69" s="730"/>
      <c r="K69" s="731"/>
      <c r="L69" s="8"/>
    </row>
    <row r="70" spans="3:12" ht="15" thickBot="1"/>
    <row r="71" spans="3:12" ht="15">
      <c r="C71" s="632" t="str">
        <f xml:space="preserve"> "B4 – Pollution of air, water and soil " &amp; template_reporting_period_display &amp; " [If applicable]"</f>
        <v>B4 – Pollution of air, water and soil from 2024-01-01 to 2024-12-31 [If applicable]</v>
      </c>
      <c r="D71" s="633"/>
      <c r="E71" s="633"/>
      <c r="F71" s="633"/>
      <c r="G71" s="633"/>
      <c r="H71" s="633"/>
      <c r="I71" s="633"/>
      <c r="J71" s="633"/>
      <c r="K71" s="634"/>
    </row>
    <row r="72" spans="3:12">
      <c r="C72" s="635">
        <v>32</v>
      </c>
      <c r="D72" s="636"/>
      <c r="E72" s="636"/>
      <c r="F72" s="636"/>
      <c r="G72" s="636"/>
      <c r="H72" s="636"/>
      <c r="I72" s="636"/>
      <c r="J72" s="636"/>
      <c r="K72" s="637"/>
    </row>
    <row r="73" spans="3:12">
      <c r="C73" s="629" t="s">
        <v>4593</v>
      </c>
      <c r="D73" s="630"/>
      <c r="E73" s="630"/>
      <c r="F73" s="630"/>
      <c r="G73" s="630"/>
      <c r="H73" s="630"/>
      <c r="I73" s="630"/>
      <c r="J73" s="630"/>
      <c r="K73" s="631"/>
    </row>
    <row r="74" spans="3:12" ht="30" customHeight="1">
      <c r="C74" s="507" t="s">
        <v>3825</v>
      </c>
      <c r="D74" s="680"/>
      <c r="E74" s="680"/>
      <c r="F74" s="508"/>
      <c r="G74" s="766" t="b">
        <v>1</v>
      </c>
      <c r="H74" s="767"/>
      <c r="I74" s="767"/>
      <c r="J74" s="767"/>
      <c r="K74" s="768"/>
      <c r="L74" s="16"/>
    </row>
    <row r="75" spans="3:12" ht="15">
      <c r="C75" s="495" t="s">
        <v>3807</v>
      </c>
      <c r="D75" s="496"/>
      <c r="E75" s="496"/>
      <c r="F75" s="496"/>
      <c r="G75" s="736" t="b">
        <v>1</v>
      </c>
      <c r="H75" s="736"/>
      <c r="I75" s="736"/>
      <c r="J75" s="736"/>
      <c r="K75" s="737"/>
      <c r="L75" s="16" t="str" cm="1">
        <f t="array" ref="L75">IF(AND(G75=TRUE,D80:K119=""),"OK",IF(AND(OR(D80:K119&lt;&gt;""),G75=TRUE),"VALUE INCONSISTENCY",""))</f>
        <v>OK</v>
      </c>
    </row>
    <row r="76" spans="3:12" ht="15">
      <c r="C76" s="495" t="s">
        <v>3806</v>
      </c>
      <c r="D76" s="496"/>
      <c r="E76" s="496"/>
      <c r="F76" s="496"/>
      <c r="G76" s="732" t="s">
        <v>4831</v>
      </c>
      <c r="H76" s="643"/>
      <c r="I76" s="643"/>
      <c r="J76" s="643"/>
      <c r="K76" s="733"/>
      <c r="L76" s="16" t="str">
        <f>IF(G75=TRUE,
   IF(G76="",
      "MISSING VALUE",
      IF(OR(LEFT(G76,7)="http://", LEFT(G76,8)="https://", LEFT(G76,4)="www."),
         "OK",
         "INVALID URL")),
   "")</f>
        <v>OK</v>
      </c>
    </row>
    <row r="77" spans="3:12" ht="15">
      <c r="C77" s="758" t="s">
        <v>3800</v>
      </c>
      <c r="D77" s="759"/>
      <c r="E77" s="759"/>
      <c r="F77" s="759"/>
      <c r="G77" s="759"/>
      <c r="H77" s="759"/>
      <c r="I77" s="759"/>
      <c r="J77" s="759"/>
      <c r="K77" s="760"/>
    </row>
    <row r="78" spans="3:12" ht="15">
      <c r="C78" s="681"/>
      <c r="D78" s="682"/>
      <c r="E78" s="682"/>
      <c r="F78" s="682"/>
      <c r="G78" s="682"/>
      <c r="H78" s="682"/>
      <c r="I78" s="682"/>
      <c r="J78" s="682"/>
      <c r="K78" s="683"/>
      <c r="L78" s="17" t="str" cm="1">
        <f t="array" ref="L78">IF(AND(OR(D80:F119&lt;&gt;"",G80:I119&lt;&gt;"",J80:J119&lt;&gt;"",G162&lt;&gt;"",K80:K119&lt;&gt;""),C78&lt;&gt;"",G74=TRUE,G75=FALSE),"OK",
IF(AND(OR(D80:F119&lt;&gt;"",G80:I119&lt;&gt;"",J80:J119&lt;&gt;"",G162&lt;&gt;"",K80:K119&lt;&gt;""),C78&lt;&gt;"",G74=TRUE,G75=TRUE),"VALUE INCONSISTENCY",
IF(AND(OR(D80:D119="",G80:G119="",J80:J119="",K80:K119=""),C78&lt;&gt;"",G74=TRUE,G75=FALSE),"OK",
IF(AND(OR(D80:D119="",G80:G119="",J80:J119="",K80:K119=""),C78&lt;&gt;"",G74=TRUE,G75=TRUE),"VALUE INCONSISTENCY",
IF(AND(OR(D80:F119&lt;&gt;"",G80:I119&lt;&gt;"",J80:J119&lt;&gt;"",G162&lt;&gt;"",K80:K119&lt;&gt;""),C78="",G74=TRUE,G75=FALSE),"MISSING VALUE","")))))</f>
        <v/>
      </c>
    </row>
    <row r="79" spans="3:12" ht="15">
      <c r="C79" s="138" t="s">
        <v>20</v>
      </c>
      <c r="D79" s="735" t="s">
        <v>3849</v>
      </c>
      <c r="E79" s="735"/>
      <c r="F79" s="735"/>
      <c r="G79" s="735" t="s">
        <v>3799</v>
      </c>
      <c r="H79" s="735"/>
      <c r="I79" s="735"/>
      <c r="J79" s="6" t="s">
        <v>3801</v>
      </c>
      <c r="K79" s="128" t="s">
        <v>3802</v>
      </c>
    </row>
    <row r="80" spans="3:12" ht="15">
      <c r="C80" s="258">
        <v>1</v>
      </c>
      <c r="D80" s="643"/>
      <c r="E80" s="643"/>
      <c r="F80" s="643"/>
      <c r="G80" s="617"/>
      <c r="H80" s="618"/>
      <c r="I80" s="619"/>
      <c r="J80" s="317"/>
      <c r="K80" s="319"/>
      <c r="L80" s="16" t="str">
        <f>IF(AND($G$74=TRUE,$G$75=TRUE,OR(D80&lt;&gt;"",G80&lt;&gt;"",J80&lt;&gt;"",K80&lt;&gt;"")),
    "VALUE INCONSISTENCY",
IF($G$74&lt;&gt;TRUE, "",
IF(AND(D80="", G80="", J80="", K80=""), "",
IF(AND(D80&lt;&gt;"", G80="", J80="", K80=""), "MISSING VALUE",
IF(AND(D80&lt;&gt;"", OR(G80&lt;&gt;"", J80&lt;&gt;"", K80&lt;&gt;"")),
    IF(COUNTIF($D$80:$D$119, D80)&gt;1, "VALUE INCONSISTENCY", "OK"),
"MISSING VALUE")))))</f>
        <v/>
      </c>
    </row>
    <row r="81" spans="3:12" ht="15">
      <c r="C81" s="258">
        <v>2</v>
      </c>
      <c r="D81" s="643"/>
      <c r="E81" s="643"/>
      <c r="F81" s="643"/>
      <c r="G81" s="617"/>
      <c r="H81" s="618"/>
      <c r="I81" s="619"/>
      <c r="J81" s="317"/>
      <c r="K81" s="319"/>
      <c r="L81" s="16" t="str">
        <f>IF(AND($G$74=TRUE,$G$75=TRUE,OR(D81&lt;&gt;"",G81&lt;&gt;"",J81&lt;&gt;"",K81&lt;&gt;"")),
    "VALUE INCONSISTENCY",
IF($G$74&lt;&gt;TRUE, "",
IF(AND(D81="", G81="", J81="", K81=""), "",
IF(AND(D81&lt;&gt;"", G81="", J81="", K81=""), "MISSING VALUE",
IF(AND(D81&lt;&gt;"", OR(G81&lt;&gt;"", J81&lt;&gt;"", K81&lt;&gt;"")),
    IF(COUNTIF($D$80:$D$119, D81)&gt;1, "VALUE INCONSISTENCY", "OK"),
"MISSING VALUE")))))</f>
        <v/>
      </c>
    </row>
    <row r="82" spans="3:12" ht="15.75" thickBot="1">
      <c r="C82" s="260">
        <v>3</v>
      </c>
      <c r="D82" s="875"/>
      <c r="E82" s="875"/>
      <c r="F82" s="875"/>
      <c r="G82" s="871"/>
      <c r="H82" s="872"/>
      <c r="I82" s="873"/>
      <c r="J82" s="320"/>
      <c r="K82" s="321"/>
      <c r="L82" s="16" t="str">
        <f t="shared" ref="L82:L119" si="3">IF(AND($G$74=TRUE,$G$75=TRUE,OR(D82&lt;&gt;"",G82&lt;&gt;"",J82&lt;&gt;"",K82&lt;&gt;"")),
    "VALUE INCONSISTENCY",
IF($G$74&lt;&gt;TRUE, "",
IF(AND(D82="", G82="", J82="", K82=""), "",
IF(AND(D82&lt;&gt;"", G82="", J82="", K82=""), "MISSING VALUE",
IF(AND(D82&lt;&gt;"", OR(G82&lt;&gt;"", J82&lt;&gt;"", K82&lt;&gt;"")),
    IF(COUNTIF($D$80:$D$119, D82)&gt;1, "VALUE INCONSISTENCY", "OK"),
"MISSING VALUE")))))</f>
        <v/>
      </c>
    </row>
    <row r="83" spans="3:12" ht="15" hidden="1" outlineLevel="1">
      <c r="C83" s="259">
        <v>4</v>
      </c>
      <c r="D83" s="803"/>
      <c r="E83" s="803"/>
      <c r="F83" s="803"/>
      <c r="G83" s="874"/>
      <c r="H83" s="874"/>
      <c r="I83" s="874"/>
      <c r="J83" s="322"/>
      <c r="K83" s="323"/>
      <c r="L83" s="16" t="str">
        <f t="shared" si="3"/>
        <v/>
      </c>
    </row>
    <row r="84" spans="3:12" ht="15" hidden="1" outlineLevel="1">
      <c r="C84" s="258">
        <v>5</v>
      </c>
      <c r="D84" s="643"/>
      <c r="E84" s="643"/>
      <c r="F84" s="643"/>
      <c r="G84" s="647"/>
      <c r="H84" s="647"/>
      <c r="I84" s="647"/>
      <c r="J84" s="317"/>
      <c r="K84" s="319"/>
      <c r="L84" s="16" t="str">
        <f t="shared" si="3"/>
        <v/>
      </c>
    </row>
    <row r="85" spans="3:12" ht="15" hidden="1" outlineLevel="1">
      <c r="C85" s="258">
        <v>6</v>
      </c>
      <c r="D85" s="643"/>
      <c r="E85" s="643"/>
      <c r="F85" s="643"/>
      <c r="G85" s="647"/>
      <c r="H85" s="647"/>
      <c r="I85" s="647"/>
      <c r="J85" s="317"/>
      <c r="K85" s="319"/>
      <c r="L85" s="16" t="str">
        <f t="shared" si="3"/>
        <v/>
      </c>
    </row>
    <row r="86" spans="3:12" ht="15" hidden="1" outlineLevel="1">
      <c r="C86" s="258">
        <v>7</v>
      </c>
      <c r="D86" s="643"/>
      <c r="E86" s="643"/>
      <c r="F86" s="643"/>
      <c r="G86" s="647"/>
      <c r="H86" s="647"/>
      <c r="I86" s="647"/>
      <c r="J86" s="317"/>
      <c r="K86" s="319"/>
      <c r="L86" s="16" t="str">
        <f t="shared" si="3"/>
        <v/>
      </c>
    </row>
    <row r="87" spans="3:12" ht="15" hidden="1" outlineLevel="1">
      <c r="C87" s="258">
        <v>8</v>
      </c>
      <c r="D87" s="643"/>
      <c r="E87" s="643"/>
      <c r="F87" s="643"/>
      <c r="G87" s="647"/>
      <c r="H87" s="647"/>
      <c r="I87" s="647"/>
      <c r="J87" s="317"/>
      <c r="K87" s="319"/>
      <c r="L87" s="16" t="str">
        <f t="shared" si="3"/>
        <v/>
      </c>
    </row>
    <row r="88" spans="3:12" ht="15" hidden="1" outlineLevel="1">
      <c r="C88" s="258">
        <v>9</v>
      </c>
      <c r="D88" s="643"/>
      <c r="E88" s="643"/>
      <c r="F88" s="643"/>
      <c r="G88" s="647"/>
      <c r="H88" s="647"/>
      <c r="I88" s="647"/>
      <c r="J88" s="317"/>
      <c r="K88" s="319"/>
      <c r="L88" s="16" t="str">
        <f t="shared" si="3"/>
        <v/>
      </c>
    </row>
    <row r="89" spans="3:12" ht="15" hidden="1" outlineLevel="1">
      <c r="C89" s="258">
        <v>10</v>
      </c>
      <c r="D89" s="643"/>
      <c r="E89" s="643"/>
      <c r="F89" s="643"/>
      <c r="G89" s="647"/>
      <c r="H89" s="647"/>
      <c r="I89" s="647"/>
      <c r="J89" s="317"/>
      <c r="K89" s="319"/>
      <c r="L89" s="16" t="str">
        <f t="shared" si="3"/>
        <v/>
      </c>
    </row>
    <row r="90" spans="3:12" ht="15" hidden="1" outlineLevel="1">
      <c r="C90" s="258">
        <v>11</v>
      </c>
      <c r="D90" s="643"/>
      <c r="E90" s="643"/>
      <c r="F90" s="643"/>
      <c r="G90" s="647"/>
      <c r="H90" s="647"/>
      <c r="I90" s="647"/>
      <c r="J90" s="317"/>
      <c r="K90" s="319"/>
      <c r="L90" s="16" t="str">
        <f t="shared" si="3"/>
        <v/>
      </c>
    </row>
    <row r="91" spans="3:12" ht="15" hidden="1" outlineLevel="1">
      <c r="C91" s="258">
        <v>12</v>
      </c>
      <c r="D91" s="643"/>
      <c r="E91" s="643"/>
      <c r="F91" s="643"/>
      <c r="G91" s="647"/>
      <c r="H91" s="647"/>
      <c r="I91" s="647"/>
      <c r="J91" s="317"/>
      <c r="K91" s="319"/>
      <c r="L91" s="16" t="str">
        <f t="shared" si="3"/>
        <v/>
      </c>
    </row>
    <row r="92" spans="3:12" ht="15" hidden="1" outlineLevel="1">
      <c r="C92" s="258">
        <v>13</v>
      </c>
      <c r="D92" s="643"/>
      <c r="E92" s="643"/>
      <c r="F92" s="643"/>
      <c r="G92" s="647"/>
      <c r="H92" s="647"/>
      <c r="I92" s="647"/>
      <c r="J92" s="317"/>
      <c r="K92" s="319"/>
      <c r="L92" s="16" t="str">
        <f t="shared" si="3"/>
        <v/>
      </c>
    </row>
    <row r="93" spans="3:12" ht="15" hidden="1" outlineLevel="1">
      <c r="C93" s="258">
        <v>14</v>
      </c>
      <c r="D93" s="643"/>
      <c r="E93" s="643"/>
      <c r="F93" s="643"/>
      <c r="G93" s="647"/>
      <c r="H93" s="647"/>
      <c r="I93" s="647"/>
      <c r="J93" s="317"/>
      <c r="K93" s="319"/>
      <c r="L93" s="16" t="str">
        <f t="shared" si="3"/>
        <v/>
      </c>
    </row>
    <row r="94" spans="3:12" ht="15" hidden="1" outlineLevel="1">
      <c r="C94" s="258">
        <v>15</v>
      </c>
      <c r="D94" s="643"/>
      <c r="E94" s="643"/>
      <c r="F94" s="643"/>
      <c r="G94" s="647"/>
      <c r="H94" s="647"/>
      <c r="I94" s="647"/>
      <c r="J94" s="317"/>
      <c r="K94" s="319"/>
      <c r="L94" s="16" t="str">
        <f t="shared" si="3"/>
        <v/>
      </c>
    </row>
    <row r="95" spans="3:12" ht="15" hidden="1" outlineLevel="1">
      <c r="C95" s="258">
        <v>16</v>
      </c>
      <c r="D95" s="643"/>
      <c r="E95" s="643"/>
      <c r="F95" s="643"/>
      <c r="G95" s="647"/>
      <c r="H95" s="647"/>
      <c r="I95" s="647"/>
      <c r="J95" s="317"/>
      <c r="K95" s="319"/>
      <c r="L95" s="16" t="str">
        <f t="shared" si="3"/>
        <v/>
      </c>
    </row>
    <row r="96" spans="3:12" ht="15" hidden="1" outlineLevel="1">
      <c r="C96" s="258">
        <v>17</v>
      </c>
      <c r="D96" s="643"/>
      <c r="E96" s="643"/>
      <c r="F96" s="643"/>
      <c r="G96" s="647"/>
      <c r="H96" s="647"/>
      <c r="I96" s="647"/>
      <c r="J96" s="317"/>
      <c r="K96" s="319"/>
      <c r="L96" s="16" t="str">
        <f t="shared" si="3"/>
        <v/>
      </c>
    </row>
    <row r="97" spans="3:13" ht="15" hidden="1" outlineLevel="1">
      <c r="C97" s="258">
        <v>18</v>
      </c>
      <c r="D97" s="643"/>
      <c r="E97" s="643"/>
      <c r="F97" s="643"/>
      <c r="G97" s="647"/>
      <c r="H97" s="647"/>
      <c r="I97" s="647"/>
      <c r="J97" s="317"/>
      <c r="K97" s="319"/>
      <c r="L97" s="16" t="str">
        <f t="shared" si="3"/>
        <v/>
      </c>
    </row>
    <row r="98" spans="3:13" ht="15" hidden="1" outlineLevel="1">
      <c r="C98" s="258">
        <v>19</v>
      </c>
      <c r="D98" s="643"/>
      <c r="E98" s="643"/>
      <c r="F98" s="643"/>
      <c r="G98" s="647"/>
      <c r="H98" s="647"/>
      <c r="I98" s="647"/>
      <c r="J98" s="317"/>
      <c r="K98" s="319"/>
      <c r="L98" s="16" t="str">
        <f t="shared" si="3"/>
        <v/>
      </c>
    </row>
    <row r="99" spans="3:13" ht="15" hidden="1" outlineLevel="1">
      <c r="C99" s="258">
        <v>20</v>
      </c>
      <c r="D99" s="643"/>
      <c r="E99" s="643"/>
      <c r="F99" s="643"/>
      <c r="G99" s="647"/>
      <c r="H99" s="647"/>
      <c r="I99" s="647"/>
      <c r="J99" s="317"/>
      <c r="K99" s="319"/>
      <c r="L99" s="16" t="str">
        <f t="shared" si="3"/>
        <v/>
      </c>
    </row>
    <row r="100" spans="3:13" ht="15" hidden="1" outlineLevel="1">
      <c r="C100" s="258">
        <v>21</v>
      </c>
      <c r="D100" s="643"/>
      <c r="E100" s="643"/>
      <c r="F100" s="643"/>
      <c r="G100" s="647"/>
      <c r="H100" s="647"/>
      <c r="I100" s="647"/>
      <c r="J100" s="317"/>
      <c r="K100" s="319"/>
      <c r="L100" s="16" t="str">
        <f t="shared" si="3"/>
        <v/>
      </c>
    </row>
    <row r="101" spans="3:13" ht="15" hidden="1" outlineLevel="1">
      <c r="C101" s="258">
        <v>22</v>
      </c>
      <c r="D101" s="643"/>
      <c r="E101" s="643"/>
      <c r="F101" s="643"/>
      <c r="G101" s="647"/>
      <c r="H101" s="647"/>
      <c r="I101" s="647"/>
      <c r="J101" s="317"/>
      <c r="K101" s="319"/>
      <c r="L101" s="16" t="str">
        <f t="shared" si="3"/>
        <v/>
      </c>
    </row>
    <row r="102" spans="3:13" ht="15" hidden="1" outlineLevel="1">
      <c r="C102" s="258">
        <v>23</v>
      </c>
      <c r="D102" s="643"/>
      <c r="E102" s="643"/>
      <c r="F102" s="643"/>
      <c r="G102" s="647"/>
      <c r="H102" s="647"/>
      <c r="I102" s="647"/>
      <c r="J102" s="317"/>
      <c r="K102" s="319"/>
      <c r="L102" s="16" t="str">
        <f t="shared" si="3"/>
        <v/>
      </c>
    </row>
    <row r="103" spans="3:13" ht="15" hidden="1" outlineLevel="1">
      <c r="C103" s="258">
        <v>24</v>
      </c>
      <c r="D103" s="643"/>
      <c r="E103" s="643"/>
      <c r="F103" s="643"/>
      <c r="G103" s="647"/>
      <c r="H103" s="647"/>
      <c r="I103" s="647"/>
      <c r="J103" s="317"/>
      <c r="K103" s="319"/>
      <c r="L103" s="16" t="str">
        <f t="shared" si="3"/>
        <v/>
      </c>
    </row>
    <row r="104" spans="3:13" ht="15" hidden="1" outlineLevel="1">
      <c r="C104" s="258">
        <v>25</v>
      </c>
      <c r="D104" s="643"/>
      <c r="E104" s="643"/>
      <c r="F104" s="643"/>
      <c r="G104" s="647"/>
      <c r="H104" s="647"/>
      <c r="I104" s="647"/>
      <c r="J104" s="317"/>
      <c r="K104" s="319"/>
      <c r="L104" s="16" t="str">
        <f t="shared" si="3"/>
        <v/>
      </c>
    </row>
    <row r="105" spans="3:13" ht="15" hidden="1" outlineLevel="1">
      <c r="C105" s="258">
        <v>26</v>
      </c>
      <c r="D105" s="643"/>
      <c r="E105" s="643"/>
      <c r="F105" s="643"/>
      <c r="G105" s="647"/>
      <c r="H105" s="647"/>
      <c r="I105" s="647"/>
      <c r="J105" s="317"/>
      <c r="K105" s="319"/>
      <c r="L105" s="16" t="str">
        <f t="shared" si="3"/>
        <v/>
      </c>
    </row>
    <row r="106" spans="3:13" ht="15" hidden="1" outlineLevel="1">
      <c r="C106" s="258">
        <v>27</v>
      </c>
      <c r="D106" s="643"/>
      <c r="E106" s="643"/>
      <c r="F106" s="643"/>
      <c r="G106" s="647"/>
      <c r="H106" s="647"/>
      <c r="I106" s="647"/>
      <c r="J106" s="317"/>
      <c r="K106" s="319"/>
      <c r="L106" s="16" t="str">
        <f t="shared" si="3"/>
        <v/>
      </c>
    </row>
    <row r="107" spans="3:13" ht="15" hidden="1" outlineLevel="1">
      <c r="C107" s="258">
        <v>28</v>
      </c>
      <c r="D107" s="643"/>
      <c r="E107" s="643"/>
      <c r="F107" s="643"/>
      <c r="G107" s="647"/>
      <c r="H107" s="647"/>
      <c r="I107" s="647"/>
      <c r="J107" s="317"/>
      <c r="K107" s="319"/>
      <c r="L107" s="16" t="str">
        <f t="shared" si="3"/>
        <v/>
      </c>
    </row>
    <row r="108" spans="3:13" ht="15" hidden="1" outlineLevel="1">
      <c r="C108" s="258">
        <v>29</v>
      </c>
      <c r="D108" s="643"/>
      <c r="E108" s="643"/>
      <c r="F108" s="643"/>
      <c r="G108" s="647"/>
      <c r="H108" s="647"/>
      <c r="I108" s="647"/>
      <c r="J108" s="317"/>
      <c r="K108" s="319"/>
      <c r="L108" s="16" t="str">
        <f t="shared" si="3"/>
        <v/>
      </c>
      <c r="M108" s="139"/>
    </row>
    <row r="109" spans="3:13" ht="15" hidden="1" outlineLevel="1">
      <c r="C109" s="258">
        <v>30</v>
      </c>
      <c r="D109" s="643"/>
      <c r="E109" s="643"/>
      <c r="F109" s="643"/>
      <c r="G109" s="647"/>
      <c r="H109" s="647"/>
      <c r="I109" s="647"/>
      <c r="J109" s="317"/>
      <c r="K109" s="319"/>
      <c r="L109" s="16" t="str">
        <f t="shared" si="3"/>
        <v/>
      </c>
    </row>
    <row r="110" spans="3:13" ht="15" hidden="1" outlineLevel="1">
      <c r="C110" s="258">
        <v>31</v>
      </c>
      <c r="D110" s="643"/>
      <c r="E110" s="643"/>
      <c r="F110" s="643"/>
      <c r="G110" s="647"/>
      <c r="H110" s="647"/>
      <c r="I110" s="647"/>
      <c r="J110" s="317"/>
      <c r="K110" s="319"/>
      <c r="L110" s="16" t="str">
        <f t="shared" si="3"/>
        <v/>
      </c>
    </row>
    <row r="111" spans="3:13" ht="15" hidden="1" outlineLevel="1">
      <c r="C111" s="258">
        <v>32</v>
      </c>
      <c r="D111" s="643"/>
      <c r="E111" s="643"/>
      <c r="F111" s="643"/>
      <c r="G111" s="647"/>
      <c r="H111" s="647"/>
      <c r="I111" s="647"/>
      <c r="J111" s="317"/>
      <c r="K111" s="319"/>
      <c r="L111" s="16" t="str">
        <f t="shared" si="3"/>
        <v/>
      </c>
    </row>
    <row r="112" spans="3:13" ht="15" hidden="1" outlineLevel="1">
      <c r="C112" s="258">
        <v>33</v>
      </c>
      <c r="D112" s="643"/>
      <c r="E112" s="643"/>
      <c r="F112" s="643"/>
      <c r="G112" s="647"/>
      <c r="H112" s="647"/>
      <c r="I112" s="647"/>
      <c r="J112" s="317"/>
      <c r="K112" s="319"/>
      <c r="L112" s="16" t="str">
        <f t="shared" si="3"/>
        <v/>
      </c>
    </row>
    <row r="113" spans="3:12" ht="15" hidden="1" outlineLevel="1">
      <c r="C113" s="258">
        <v>34</v>
      </c>
      <c r="D113" s="643"/>
      <c r="E113" s="643"/>
      <c r="F113" s="643"/>
      <c r="G113" s="647"/>
      <c r="H113" s="647"/>
      <c r="I113" s="647"/>
      <c r="J113" s="317"/>
      <c r="K113" s="319"/>
      <c r="L113" s="16" t="str">
        <f t="shared" si="3"/>
        <v/>
      </c>
    </row>
    <row r="114" spans="3:12" ht="15" hidden="1" outlineLevel="1">
      <c r="C114" s="258">
        <v>35</v>
      </c>
      <c r="D114" s="643"/>
      <c r="E114" s="643"/>
      <c r="F114" s="643"/>
      <c r="G114" s="647"/>
      <c r="H114" s="647"/>
      <c r="I114" s="647"/>
      <c r="J114" s="317"/>
      <c r="K114" s="319"/>
      <c r="L114" s="16" t="str">
        <f t="shared" si="3"/>
        <v/>
      </c>
    </row>
    <row r="115" spans="3:12" ht="15" hidden="1" outlineLevel="1">
      <c r="C115" s="258">
        <v>36</v>
      </c>
      <c r="D115" s="643"/>
      <c r="E115" s="643"/>
      <c r="F115" s="643"/>
      <c r="G115" s="647"/>
      <c r="H115" s="647"/>
      <c r="I115" s="647"/>
      <c r="J115" s="317"/>
      <c r="K115" s="319"/>
      <c r="L115" s="16" t="str">
        <f t="shared" si="3"/>
        <v/>
      </c>
    </row>
    <row r="116" spans="3:12" ht="15" hidden="1" outlineLevel="1">
      <c r="C116" s="258">
        <v>37</v>
      </c>
      <c r="D116" s="643"/>
      <c r="E116" s="643"/>
      <c r="F116" s="643"/>
      <c r="G116" s="647"/>
      <c r="H116" s="647"/>
      <c r="I116" s="647"/>
      <c r="J116" s="317"/>
      <c r="K116" s="319"/>
      <c r="L116" s="16" t="str">
        <f t="shared" si="3"/>
        <v/>
      </c>
    </row>
    <row r="117" spans="3:12" ht="15" hidden="1" outlineLevel="1">
      <c r="C117" s="258">
        <v>38</v>
      </c>
      <c r="D117" s="643"/>
      <c r="E117" s="643"/>
      <c r="F117" s="643"/>
      <c r="G117" s="647"/>
      <c r="H117" s="647"/>
      <c r="I117" s="647"/>
      <c r="J117" s="317"/>
      <c r="K117" s="319"/>
      <c r="L117" s="16" t="str">
        <f t="shared" si="3"/>
        <v/>
      </c>
    </row>
    <row r="118" spans="3:12" ht="15" hidden="1" outlineLevel="1">
      <c r="C118" s="258">
        <v>39</v>
      </c>
      <c r="D118" s="643"/>
      <c r="E118" s="643"/>
      <c r="F118" s="643"/>
      <c r="G118" s="647"/>
      <c r="H118" s="647"/>
      <c r="I118" s="647"/>
      <c r="J118" s="317"/>
      <c r="K118" s="319"/>
      <c r="L118" s="16" t="str">
        <f t="shared" si="3"/>
        <v/>
      </c>
    </row>
    <row r="119" spans="3:12" ht="15.75" hidden="1" outlineLevel="1" thickBot="1">
      <c r="C119" s="258">
        <v>40</v>
      </c>
      <c r="D119" s="643"/>
      <c r="E119" s="643"/>
      <c r="F119" s="643"/>
      <c r="G119" s="693"/>
      <c r="H119" s="693"/>
      <c r="I119" s="693"/>
      <c r="J119" s="320"/>
      <c r="K119" s="324"/>
      <c r="L119" s="16" t="str">
        <f t="shared" si="3"/>
        <v/>
      </c>
    </row>
    <row r="120" spans="3:12" ht="15" collapsed="1" thickBot="1">
      <c r="C120" s="140"/>
      <c r="D120" s="140"/>
      <c r="E120" s="14"/>
      <c r="F120" s="14"/>
      <c r="G120" s="14"/>
      <c r="H120" s="14"/>
      <c r="I120" s="14"/>
      <c r="J120" s="14"/>
      <c r="K120" s="14"/>
    </row>
    <row r="121" spans="3:12" ht="15">
      <c r="C121" s="773" t="str">
        <f>"B5 - Sites in biodiversity sensitive areas " &amp; template_reporting_period_display &amp; " [If applicable]"</f>
        <v>B5 - Sites in biodiversity sensitive areas from 2024-01-01 to 2024-12-31 [If applicable]</v>
      </c>
      <c r="D121" s="773"/>
      <c r="E121" s="773"/>
      <c r="F121" s="773"/>
      <c r="G121" s="773"/>
      <c r="H121" s="773"/>
      <c r="I121" s="773"/>
      <c r="J121" s="773"/>
      <c r="K121" s="774"/>
    </row>
    <row r="122" spans="3:12">
      <c r="C122" s="515">
        <v>33</v>
      </c>
      <c r="D122" s="515"/>
      <c r="E122" s="515"/>
      <c r="F122" s="515"/>
      <c r="G122" s="515"/>
      <c r="H122" s="515"/>
      <c r="I122" s="515"/>
      <c r="J122" s="515"/>
      <c r="K122" s="684"/>
    </row>
    <row r="123" spans="3:12">
      <c r="C123" s="512" t="s">
        <v>4594</v>
      </c>
      <c r="D123" s="512"/>
      <c r="E123" s="512"/>
      <c r="F123" s="512"/>
      <c r="G123" s="512"/>
      <c r="H123" s="512"/>
      <c r="I123" s="512"/>
      <c r="J123" s="512"/>
      <c r="K123" s="775"/>
    </row>
    <row r="124" spans="3:12">
      <c r="C124" s="697" t="s">
        <v>3826</v>
      </c>
      <c r="D124" s="698"/>
      <c r="E124" s="698"/>
      <c r="F124" s="698"/>
      <c r="G124" s="699" t="b">
        <v>0</v>
      </c>
      <c r="H124" s="700"/>
      <c r="I124" s="700"/>
      <c r="J124" s="700"/>
      <c r="K124" s="701"/>
    </row>
    <row r="125" spans="3:12" ht="15">
      <c r="C125" s="685" t="s">
        <v>3797</v>
      </c>
      <c r="D125" s="686"/>
      <c r="E125" s="686"/>
      <c r="F125" s="686"/>
      <c r="G125" s="686"/>
      <c r="H125" s="686"/>
      <c r="I125" s="686"/>
      <c r="J125" s="686"/>
      <c r="K125" s="687"/>
    </row>
    <row r="126" spans="3:12" ht="15.75" thickBot="1">
      <c r="C126" s="681"/>
      <c r="D126" s="682"/>
      <c r="E126" s="682"/>
      <c r="F126" s="682"/>
      <c r="G126" s="682"/>
      <c r="H126" s="682"/>
      <c r="I126" s="682"/>
      <c r="J126" s="682"/>
      <c r="K126" s="683"/>
      <c r="L126" s="17" t="str">
        <f>IF(AND(G124=TRUE,C126=""),"MISSING VALUE",IF(AND(G124=TRUE,C126&lt;&gt;""),"OK",""))</f>
        <v/>
      </c>
    </row>
    <row r="127" spans="3:12" ht="57.6" customHeight="1">
      <c r="C127" s="141" t="s">
        <v>4308</v>
      </c>
      <c r="D127" s="690" t="s">
        <v>4312</v>
      </c>
      <c r="E127" s="691"/>
      <c r="F127" s="692"/>
      <c r="G127" s="690" t="s">
        <v>3795</v>
      </c>
      <c r="H127" s="691"/>
      <c r="I127" s="692"/>
      <c r="J127" s="266" t="s">
        <v>3632</v>
      </c>
      <c r="K127" s="267" t="s">
        <v>3633</v>
      </c>
    </row>
    <row r="128" spans="3:12" ht="15">
      <c r="C128" s="258"/>
      <c r="D128" s="800" t="str">
        <f>IF(C128 = "", "",
IF(AND(COUNTIF('General Information'!C108:C132, C128),
        INDEX('General Information'!D108:D132, MATCH(C128, 'General Information'!C108:C132, 0)) = ""),
   "VALUE INCONSISTENCY",
IFERROR(VLOOKUP(C128, ListOfSitesTable, 5, FALSE),"") &amp; " " &amp;
IFERROR(VLOOKUP(C128, ListOfSitesTable, 4, FALSE),"") &amp; " " &amp;
IFERROR(VLOOKUP(C128, ListOfSitesTable, 2, FALSE),"")))</f>
        <v/>
      </c>
      <c r="E128" s="801"/>
      <c r="F128" s="802"/>
      <c r="G128" s="648"/>
      <c r="H128" s="649"/>
      <c r="I128" s="649"/>
      <c r="J128" s="271" t="b">
        <v>0</v>
      </c>
      <c r="K128" s="269" t="b">
        <v>0</v>
      </c>
      <c r="L128" s="17" t="str">
        <f t="shared" ref="L128:L153" si="4">IF($G$124=FALSE, "",
    IF(AND($G$124=TRUE, TRIM(D128)&lt;&gt;"", TRIM(G128)&lt;&gt;"", OR(J128=TRUE, K128=TRUE)), "OK",
        IF(AND($G$124=TRUE, TRIM(D128)&lt;&gt;"", TRIM(G128)&lt;&gt;"", J128=FALSE, K128=FALSE), "MISSING VALUE",
            IF(AND($G$124=TRUE, TRIM(D128)&lt;&gt;"", TRIM(G128)="", J128=FALSE, K128=FALSE), "MISSING VALUE",
                IF(AND($G$124=TRUE, TRIM(D128)&lt;&gt;"", TRIM(G128)="", OR(J128=TRUE, K128=TRUE)), "MISSING VALUE",
                    IF(AND($G$124=TRUE, TRIM(D128)="", TRIM(G128)&lt;&gt;"", J128=FALSE, K128=FALSE), "MISSING VALUE",
                        IF(AND($G$124=TRUE, TRIM(D128)="", TRIM(G128)="", OR(J128=TRUE, K128=TRUE)), "MISSING VALUE",
                            IF(AND($G$124=TRUE, TRIM(D128)="", TRIM(G128)&lt;&gt;"", OR(J128=TRUE, K128=TRUE)), "MISSING VALUE",
                                ""
                            )
                        )
                    )
                )
            )
        )
    )
)</f>
        <v/>
      </c>
    </row>
    <row r="129" spans="3:17" ht="15">
      <c r="C129" s="259"/>
      <c r="D129" s="655" t="str">
        <f>IF(C129 = "", "",
IF(COUNTIF($C$128:C128, C129), "VALUE INCONSISTENCY",
IF(AND(COUNTIF('General Information'!$C$108:$C$132, C129),
       INDEX('General Information'!$D$108:$D$132, MATCH(C129, 'General Information'!$C$108:$C$132, 0)) = ""),
   "VALUE INCONSISTENCY",
IFERROR(VLOOKUP(C129, ListOfSitesTable, 5, FALSE), "") &amp; " " &amp;
IFERROR(VLOOKUP(C129, ListOfSitesTable, 4, FALSE), "") &amp; " " &amp;
IFERROR(VLOOKUP(C129, ListOfSitesTable, 2, FALSE), ""))))</f>
        <v/>
      </c>
      <c r="E129" s="656"/>
      <c r="F129" s="657"/>
      <c r="G129" s="648"/>
      <c r="H129" s="649"/>
      <c r="I129" s="649"/>
      <c r="J129" s="271" t="b">
        <v>0</v>
      </c>
      <c r="K129" s="269" t="b">
        <v>0</v>
      </c>
      <c r="L129" s="17" t="str">
        <f>IF($G$124=FALSE, "",
    IF(AND($G$124=TRUE, TRIM(D129)&lt;&gt;"", TRIM(G129)&lt;&gt;"", OR(J129=TRUE, K129=TRUE)), "OK",
        IF(AND($G$124=TRUE, TRIM(D129)&lt;&gt;"", TRIM(G129)&lt;&gt;"", J129=FALSE, K129=FALSE), "MISSING VALUE",
            IF(AND($G$124=TRUE, TRIM(D129)&lt;&gt;"", TRIM(G129)="", J129=FALSE, K129=FALSE), "MISSING VALUE",
                IF(AND($G$124=TRUE, TRIM(D129)&lt;&gt;"", TRIM(G129)="", OR(J129=TRUE, K129=TRUE)), "MISSING VALUE",
                    IF(AND($G$124=TRUE, TRIM(D129)="", TRIM(G129)&lt;&gt;"", J129=FALSE, K129=FALSE), "MISSING VALUE",
                        IF(AND($G$124=TRUE, TRIM(D129)="", TRIM(G129)="", OR(J129=TRUE, K129=TRUE)), "MISSING VALUE",
                            IF(AND($G$124=TRUE, TRIM(D129)="", TRIM(G129)&lt;&gt;"", OR(J129=TRUE, K129=TRUE)), "MISSING VALUE",
                                ""
                            )
                        )
                    )
                )
            )
        )
    )
)</f>
        <v/>
      </c>
    </row>
    <row r="130" spans="3:17" ht="15.75" thickBot="1">
      <c r="C130" s="260"/>
      <c r="D130" s="831" t="str">
        <f>IF(C130 = "", "",
IF(COUNTIF($C$128:C129, C130), "VALUE INCONSISTENCY",
IF(AND(COUNTIF('General Information'!$C$108:$C$132, C130),
       INDEX('General Information'!$D$108:$D$132, MATCH(C130, 'General Information'!$C$108:$C$132, 0)) = ""),
   "VALUE INCONSISTENCY",
IFERROR(VLOOKUP(C130, ListOfSitesTable, 5, FALSE), "") &amp; " " &amp;
IFERROR(VLOOKUP(C130, ListOfSitesTable, 4, FALSE), "") &amp; " " &amp;
IFERROR(VLOOKUP(C130, ListOfSitesTable, 2, FALSE), ""))))</f>
        <v/>
      </c>
      <c r="E130" s="832"/>
      <c r="F130" s="833"/>
      <c r="G130" s="776"/>
      <c r="H130" s="776"/>
      <c r="I130" s="776"/>
      <c r="J130" s="272" t="b">
        <v>0</v>
      </c>
      <c r="K130" s="270" t="b">
        <v>0</v>
      </c>
      <c r="L130" s="17" t="str">
        <f t="shared" si="4"/>
        <v/>
      </c>
    </row>
    <row r="131" spans="3:17" ht="15" hidden="1" outlineLevel="1">
      <c r="C131" s="259"/>
      <c r="D131" s="868" t="str">
        <f>IF(C131 = "", "",
IF(COUNTIF($C$128:C130, C131), "VALUE INCONSISTENCY",
IF(AND(COUNTIF('General Information'!$C$108:$C$132, C131),
       INDEX('General Information'!$D$108:$D$132, MATCH(C131, 'General Information'!$C$108:$C$132, 0)) = ""),
   "VALUE INCONSISTENCY",
IFERROR(VLOOKUP(C131, ListOfSitesTable, 5, FALSE), "") &amp; " " &amp;
IFERROR(VLOOKUP(C131, ListOfSitesTable, 4, FALSE), "") &amp; " " &amp;
IFERROR(VLOOKUP(C131, ListOfSitesTable, 2, FALSE), ""))))</f>
        <v/>
      </c>
      <c r="E131" s="869"/>
      <c r="F131" s="870"/>
      <c r="G131" s="777"/>
      <c r="H131" s="778"/>
      <c r="I131" s="779"/>
      <c r="J131" s="273" t="b">
        <v>0</v>
      </c>
      <c r="K131" s="268" t="b">
        <v>0</v>
      </c>
      <c r="L131" s="17" t="str">
        <f t="shared" si="4"/>
        <v/>
      </c>
      <c r="M131" s="10"/>
      <c r="N131" s="10"/>
      <c r="O131" s="10"/>
      <c r="P131" s="10"/>
      <c r="Q131" s="10"/>
    </row>
    <row r="132" spans="3:17" ht="15" hidden="1" outlineLevel="1">
      <c r="C132" s="259"/>
      <c r="D132" s="655" t="str">
        <f>IF(C132 = "", "",
IF(COUNTIF($C$128:C131, C132), "VALUE INCONSISTENCY",
IF(AND(COUNTIF('General Information'!$C$108:$C$132, C132),
       INDEX('General Information'!$D$108:$D$132, MATCH(C132, 'General Information'!$C$108:$C$132, 0)) = ""),
   "VALUE INCONSISTENCY",
IFERROR(VLOOKUP(C132, ListOfSitesTable, 5, FALSE), "") &amp; " " &amp;
IFERROR(VLOOKUP(C132, ListOfSitesTable, 4, FALSE), "") &amp; " " &amp;
IFERROR(VLOOKUP(C132, ListOfSitesTable, 2, FALSE), ""))))</f>
        <v/>
      </c>
      <c r="E132" s="656"/>
      <c r="F132" s="657"/>
      <c r="G132" s="648"/>
      <c r="H132" s="649"/>
      <c r="I132" s="650"/>
      <c r="J132" s="274" t="b">
        <v>0</v>
      </c>
      <c r="K132" s="269" t="b">
        <v>0</v>
      </c>
      <c r="L132" s="17" t="str">
        <f t="shared" si="4"/>
        <v/>
      </c>
      <c r="M132" s="10"/>
      <c r="N132" s="10"/>
      <c r="O132" s="10"/>
      <c r="P132" s="10"/>
      <c r="Q132" s="10"/>
    </row>
    <row r="133" spans="3:17" ht="15" hidden="1" outlineLevel="1">
      <c r="C133" s="259"/>
      <c r="D133" s="655" t="str">
        <f>IF(C133 = "", "",
IF(COUNTIF($C$128:C132, C133), "VALUE INCONSISTENCY",
IF(AND(COUNTIF('General Information'!$C$108:$C$132, C133),
       INDEX('General Information'!$D$108:$D$132, MATCH(C133, 'General Information'!$C$108:$C$132, 0)) = ""),
   "VALUE INCONSISTENCY",
IFERROR(VLOOKUP(C133, ListOfSitesTable, 5, FALSE), "") &amp; " " &amp;
IFERROR(VLOOKUP(C133, ListOfSitesTable, 4, FALSE), "") &amp; " " &amp;
IFERROR(VLOOKUP(C133, ListOfSitesTable, 2, FALSE), ""))))</f>
        <v/>
      </c>
      <c r="E133" s="656"/>
      <c r="F133" s="657"/>
      <c r="G133" s="648"/>
      <c r="H133" s="649"/>
      <c r="I133" s="650"/>
      <c r="J133" s="274" t="b">
        <v>0</v>
      </c>
      <c r="K133" s="269" t="b">
        <v>0</v>
      </c>
      <c r="L133" s="17" t="str">
        <f t="shared" si="4"/>
        <v/>
      </c>
      <c r="M133" s="10"/>
      <c r="N133" s="10"/>
      <c r="O133" s="10"/>
      <c r="P133" s="10"/>
      <c r="Q133" s="10"/>
    </row>
    <row r="134" spans="3:17" ht="15" hidden="1" outlineLevel="1">
      <c r="C134" s="259"/>
      <c r="D134" s="655" t="str">
        <f>IF(C134 = "", "",
IF(COUNTIF($C$128:C133, C134), "VALUE INCONSISTENCY",
IF(AND(COUNTIF('General Information'!$C$108:$C$132, C134),
       INDEX('General Information'!$D$108:$D$132, MATCH(C134, 'General Information'!$C$108:$C$132, 0)) = ""),
   "VALUE INCONSISTENCY",
IFERROR(VLOOKUP(C134, ListOfSitesTable, 5, FALSE), "") &amp; " " &amp;
IFERROR(VLOOKUP(C134, ListOfSitesTable, 4, FALSE), "") &amp; " " &amp;
IFERROR(VLOOKUP(C134, ListOfSitesTable, 2, FALSE), ""))))</f>
        <v/>
      </c>
      <c r="E134" s="656"/>
      <c r="F134" s="657"/>
      <c r="G134" s="648"/>
      <c r="H134" s="649"/>
      <c r="I134" s="650"/>
      <c r="J134" s="274" t="b">
        <v>0</v>
      </c>
      <c r="K134" s="269" t="b">
        <v>0</v>
      </c>
      <c r="L134" s="17" t="str">
        <f t="shared" si="4"/>
        <v/>
      </c>
      <c r="M134" s="10"/>
      <c r="N134" s="10"/>
      <c r="O134" s="10"/>
      <c r="P134" s="10"/>
      <c r="Q134" s="10"/>
    </row>
    <row r="135" spans="3:17" ht="15" hidden="1" outlineLevel="1">
      <c r="C135" s="259"/>
      <c r="D135" s="655" t="str">
        <f>IF(C135 = "", "",
IF(COUNTIF($C$128:C134, C135), "VALUE INCONSISTENCY",
IF(AND(COUNTIF('General Information'!$C$108:$C$132, C135),
       INDEX('General Information'!$D$108:$D$132, MATCH(C135, 'General Information'!$C$108:$C$132, 0)) = ""),
   "VALUE INCONSISTENCY",
IFERROR(VLOOKUP(C135, ListOfSitesTable, 5, FALSE), "") &amp; " " &amp;
IFERROR(VLOOKUP(C135, ListOfSitesTable, 4, FALSE), "") &amp; " " &amp;
IFERROR(VLOOKUP(C135, ListOfSitesTable, 2, FALSE), ""))))</f>
        <v/>
      </c>
      <c r="E135" s="656"/>
      <c r="F135" s="657"/>
      <c r="G135" s="648"/>
      <c r="H135" s="649"/>
      <c r="I135" s="650"/>
      <c r="J135" s="274" t="b">
        <v>0</v>
      </c>
      <c r="K135" s="269" t="b">
        <v>0</v>
      </c>
      <c r="L135" s="17" t="str">
        <f t="shared" si="4"/>
        <v/>
      </c>
      <c r="M135" s="10"/>
      <c r="N135" s="10"/>
      <c r="O135" s="10"/>
      <c r="P135" s="10"/>
      <c r="Q135" s="10"/>
    </row>
    <row r="136" spans="3:17" ht="15" hidden="1" outlineLevel="1">
      <c r="C136" s="259"/>
      <c r="D136" s="655" t="str">
        <f>IF(C136 = "", "",
IF(COUNTIF($C$128:C135, C136), "VALUE INCONSISTENCY",
IF(AND(COUNTIF('General Information'!$C$108:$C$132, C136),
       INDEX('General Information'!$D$108:$D$132, MATCH(C136, 'General Information'!$C$108:$C$132, 0)) = ""),
   "VALUE INCONSISTENCY",
IFERROR(VLOOKUP(C136, ListOfSitesTable, 5, FALSE), "") &amp; " " &amp;
IFERROR(VLOOKUP(C136, ListOfSitesTable, 4, FALSE), "") &amp; " " &amp;
IFERROR(VLOOKUP(C136, ListOfSitesTable, 2, FALSE), ""))))</f>
        <v/>
      </c>
      <c r="E136" s="656"/>
      <c r="F136" s="657"/>
      <c r="G136" s="648"/>
      <c r="H136" s="649"/>
      <c r="I136" s="650"/>
      <c r="J136" s="274" t="b">
        <v>0</v>
      </c>
      <c r="K136" s="269" t="b">
        <v>0</v>
      </c>
      <c r="L136" s="17" t="str">
        <f t="shared" si="4"/>
        <v/>
      </c>
      <c r="M136" s="10"/>
      <c r="N136" s="10"/>
      <c r="O136" s="10"/>
      <c r="P136" s="10"/>
      <c r="Q136" s="10"/>
    </row>
    <row r="137" spans="3:17" ht="15" hidden="1" outlineLevel="1">
      <c r="C137" s="259"/>
      <c r="D137" s="655" t="str">
        <f>IF(C137 = "", "",
IF(COUNTIF($C$128:C136, C137), "VALUE INCONSISTENCY",
IF(AND(COUNTIF('General Information'!$C$108:$C$132, C137),
       INDEX('General Information'!$D$108:$D$132, MATCH(C137, 'General Information'!$C$108:$C$132, 0)) = ""),
   "VALUE INCONSISTENCY",
IFERROR(VLOOKUP(C137, ListOfSitesTable, 5, FALSE), "") &amp; " " &amp;
IFERROR(VLOOKUP(C137, ListOfSitesTable, 4, FALSE), "") &amp; " " &amp;
IFERROR(VLOOKUP(C137, ListOfSitesTable, 2, FALSE), ""))))</f>
        <v/>
      </c>
      <c r="E137" s="656"/>
      <c r="F137" s="657"/>
      <c r="G137" s="648"/>
      <c r="H137" s="649"/>
      <c r="I137" s="650"/>
      <c r="J137" s="274" t="b">
        <v>0</v>
      </c>
      <c r="K137" s="269" t="b">
        <v>0</v>
      </c>
      <c r="L137" s="17" t="str">
        <f t="shared" si="4"/>
        <v/>
      </c>
      <c r="M137" s="10"/>
      <c r="N137" s="10"/>
      <c r="O137" s="10"/>
      <c r="P137" s="10"/>
      <c r="Q137" s="10"/>
    </row>
    <row r="138" spans="3:17" ht="15" hidden="1" outlineLevel="1">
      <c r="C138" s="259"/>
      <c r="D138" s="655" t="str">
        <f>IF(C138 = "", "",
IF(COUNTIF($C$128:C137, C138), "VALUE INCONSISTENCY",
IF(AND(COUNTIF('General Information'!$C$108:$C$132, C138),
       INDEX('General Information'!$D$108:$D$132, MATCH(C138, 'General Information'!$C$108:$C$132, 0)) = ""),
   "VALUE INCONSISTENCY",
IFERROR(VLOOKUP(C138, ListOfSitesTable, 5, FALSE), "") &amp; " " &amp;
IFERROR(VLOOKUP(C138, ListOfSitesTable, 4, FALSE), "") &amp; " " &amp;
IFERROR(VLOOKUP(C138, ListOfSitesTable, 2, FALSE), ""))))</f>
        <v/>
      </c>
      <c r="E138" s="656"/>
      <c r="F138" s="657"/>
      <c r="G138" s="648"/>
      <c r="H138" s="649"/>
      <c r="I138" s="650"/>
      <c r="J138" s="274" t="b">
        <v>0</v>
      </c>
      <c r="K138" s="269" t="b">
        <v>0</v>
      </c>
      <c r="L138" s="17" t="str">
        <f t="shared" si="4"/>
        <v/>
      </c>
      <c r="M138" s="10"/>
      <c r="N138" s="10"/>
      <c r="O138" s="10"/>
      <c r="P138" s="10"/>
      <c r="Q138" s="10"/>
    </row>
    <row r="139" spans="3:17" ht="15" hidden="1" outlineLevel="1">
      <c r="C139" s="259"/>
      <c r="D139" s="655" t="str">
        <f>IF(C139 = "", "",
IF(COUNTIF($C$128:C138, C139), "VALUE INCONSISTENCY",
IF(AND(COUNTIF('General Information'!$C$108:$C$132, C139),
       INDEX('General Information'!$D$108:$D$132, MATCH(C139, 'General Information'!$C$108:$C$132, 0)) = ""),
   "VALUE INCONSISTENCY",
IFERROR(VLOOKUP(C139, ListOfSitesTable, 5, FALSE), "") &amp; " " &amp;
IFERROR(VLOOKUP(C139, ListOfSitesTable, 4, FALSE), "") &amp; " " &amp;
IFERROR(VLOOKUP(C139, ListOfSitesTable, 2, FALSE), ""))))</f>
        <v/>
      </c>
      <c r="E139" s="656"/>
      <c r="F139" s="657"/>
      <c r="G139" s="648"/>
      <c r="H139" s="649"/>
      <c r="I139" s="650"/>
      <c r="J139" s="274" t="b">
        <v>0</v>
      </c>
      <c r="K139" s="269" t="b">
        <v>0</v>
      </c>
      <c r="L139" s="17" t="str">
        <f t="shared" si="4"/>
        <v/>
      </c>
      <c r="M139" s="10"/>
      <c r="N139" s="10"/>
      <c r="O139" s="10"/>
      <c r="P139" s="10"/>
      <c r="Q139" s="10"/>
    </row>
    <row r="140" spans="3:17" ht="15" hidden="1" outlineLevel="1">
      <c r="C140" s="259"/>
      <c r="D140" s="655" t="str">
        <f>IF(C140 = "", "",
IF(COUNTIF($C$128:C139, C140), "VALUE INCONSISTENCY",
IF(AND(COUNTIF('General Information'!$C$108:$C$132, C140),
       INDEX('General Information'!$D$108:$D$132, MATCH(C140, 'General Information'!$C$108:$C$132, 0)) = ""),
   "VALUE INCONSISTENCY",
IFERROR(VLOOKUP(C140, ListOfSitesTable, 5, FALSE), "") &amp; " " &amp;
IFERROR(VLOOKUP(C140, ListOfSitesTable, 4, FALSE), "") &amp; " " &amp;
IFERROR(VLOOKUP(C140, ListOfSitesTable, 2, FALSE), ""))))</f>
        <v/>
      </c>
      <c r="E140" s="656"/>
      <c r="F140" s="657"/>
      <c r="G140" s="648"/>
      <c r="H140" s="649"/>
      <c r="I140" s="650"/>
      <c r="J140" s="274" t="b">
        <v>0</v>
      </c>
      <c r="K140" s="269" t="b">
        <v>0</v>
      </c>
      <c r="L140" s="17" t="str">
        <f t="shared" si="4"/>
        <v/>
      </c>
      <c r="M140" s="10"/>
      <c r="N140" s="10"/>
      <c r="O140" s="10"/>
      <c r="P140" s="10"/>
      <c r="Q140" s="10"/>
    </row>
    <row r="141" spans="3:17" ht="15" hidden="1" outlineLevel="1">
      <c r="C141" s="259"/>
      <c r="D141" s="655" t="str">
        <f>IF(C141 = "", "",
IF(COUNTIF($C$128:C140, C141), "VALUE INCONSISTENCY",
IF(AND(COUNTIF('General Information'!$C$108:$C$132, C141),
       INDEX('General Information'!$D$108:$D$132, MATCH(C141, 'General Information'!$C$108:$C$132, 0)) = ""),
   "VALUE INCONSISTENCY",
IFERROR(VLOOKUP(C141, ListOfSitesTable, 5, FALSE), "") &amp; " " &amp;
IFERROR(VLOOKUP(C141, ListOfSitesTable, 4, FALSE), "") &amp; " " &amp;
IFERROR(VLOOKUP(C141, ListOfSitesTable, 2, FALSE), ""))))</f>
        <v/>
      </c>
      <c r="E141" s="656"/>
      <c r="F141" s="657"/>
      <c r="G141" s="648"/>
      <c r="H141" s="649"/>
      <c r="I141" s="650"/>
      <c r="J141" s="274" t="b">
        <v>0</v>
      </c>
      <c r="K141" s="269" t="b">
        <v>0</v>
      </c>
      <c r="L141" s="17" t="str">
        <f t="shared" si="4"/>
        <v/>
      </c>
      <c r="M141" s="10"/>
      <c r="N141" s="10"/>
      <c r="O141" s="10"/>
      <c r="P141" s="10"/>
      <c r="Q141" s="10"/>
    </row>
    <row r="142" spans="3:17" ht="15" hidden="1" outlineLevel="1">
      <c r="C142" s="259"/>
      <c r="D142" s="655" t="str">
        <f>IF(C142 = "", "",
IF(COUNTIF($C$128:C141, C142), "VALUE INCONSISTENCY",
IF(AND(COUNTIF('General Information'!$C$108:$C$132, C142),
       INDEX('General Information'!$D$108:$D$132, MATCH(C142, 'General Information'!$C$108:$C$132, 0)) = ""),
   "VALUE INCONSISTENCY",
IFERROR(VLOOKUP(C142, ListOfSitesTable, 5, FALSE), "") &amp; " " &amp;
IFERROR(VLOOKUP(C142, ListOfSitesTable, 4, FALSE), "") &amp; " " &amp;
IFERROR(VLOOKUP(C142, ListOfSitesTable, 2, FALSE), ""))))</f>
        <v/>
      </c>
      <c r="E142" s="656"/>
      <c r="F142" s="657"/>
      <c r="G142" s="648"/>
      <c r="H142" s="649"/>
      <c r="I142" s="650"/>
      <c r="J142" s="274" t="b">
        <v>0</v>
      </c>
      <c r="K142" s="269" t="b">
        <v>0</v>
      </c>
      <c r="L142" s="17" t="str">
        <f t="shared" si="4"/>
        <v/>
      </c>
      <c r="M142" s="10"/>
      <c r="N142" s="10"/>
      <c r="O142" s="10"/>
      <c r="P142" s="10"/>
      <c r="Q142" s="10"/>
    </row>
    <row r="143" spans="3:17" ht="15" hidden="1" outlineLevel="1">
      <c r="C143" s="259"/>
      <c r="D143" s="655" t="str">
        <f>IF(C143 = "", "",
IF(COUNTIF($C$128:C142, C143), "VALUE INCONSISTENCY",
IF(AND(COUNTIF('General Information'!$C$108:$C$132, C143),
       INDEX('General Information'!$D$108:$D$132, MATCH(C143, 'General Information'!$C$108:$C$132, 0)) = ""),
   "VALUE INCONSISTENCY",
IFERROR(VLOOKUP(C143, ListOfSitesTable, 5, FALSE), "") &amp; " " &amp;
IFERROR(VLOOKUP(C143, ListOfSitesTable, 4, FALSE), "") &amp; " " &amp;
IFERROR(VLOOKUP(C143, ListOfSitesTable, 2, FALSE), ""))))</f>
        <v/>
      </c>
      <c r="E143" s="656"/>
      <c r="F143" s="657"/>
      <c r="G143" s="648"/>
      <c r="H143" s="649"/>
      <c r="I143" s="650"/>
      <c r="J143" s="274" t="b">
        <v>0</v>
      </c>
      <c r="K143" s="269" t="b">
        <v>0</v>
      </c>
      <c r="L143" s="17" t="str">
        <f t="shared" si="4"/>
        <v/>
      </c>
      <c r="M143" s="10"/>
      <c r="N143" s="10"/>
      <c r="O143" s="10"/>
      <c r="P143" s="10"/>
      <c r="Q143" s="10"/>
    </row>
    <row r="144" spans="3:17" ht="15" hidden="1" outlineLevel="1">
      <c r="C144" s="259"/>
      <c r="D144" s="655" t="str">
        <f>IF(C144 = "", "",
IF(COUNTIF($C$128:C143, C144), "VALUE INCONSISTENCY",
IF(AND(COUNTIF('General Information'!$C$108:$C$132, C144),
       INDEX('General Information'!$D$108:$D$132, MATCH(C144, 'General Information'!$C$108:$C$132, 0)) = ""),
   "VALUE INCONSISTENCY",
IFERROR(VLOOKUP(C144, ListOfSitesTable, 5, FALSE), "") &amp; " " &amp;
IFERROR(VLOOKUP(C144, ListOfSitesTable, 4, FALSE), "") &amp; " " &amp;
IFERROR(VLOOKUP(C144, ListOfSitesTable, 2, FALSE), ""))))</f>
        <v/>
      </c>
      <c r="E144" s="656"/>
      <c r="F144" s="657"/>
      <c r="G144" s="648"/>
      <c r="H144" s="649"/>
      <c r="I144" s="650"/>
      <c r="J144" s="274" t="b">
        <v>0</v>
      </c>
      <c r="K144" s="269" t="b">
        <v>0</v>
      </c>
      <c r="L144" s="17" t="str">
        <f t="shared" si="4"/>
        <v/>
      </c>
      <c r="M144" s="10"/>
      <c r="N144" s="10"/>
      <c r="O144" s="10"/>
      <c r="P144" s="10"/>
      <c r="Q144" s="10"/>
    </row>
    <row r="145" spans="3:17" ht="15" hidden="1" outlineLevel="1">
      <c r="C145" s="259"/>
      <c r="D145" s="655" t="str">
        <f>IF(C145 = "", "",
IF(COUNTIF($C$128:C144, C145), "VALUE INCONSISTENCY",
IF(AND(COUNTIF('General Information'!$C$108:$C$132, C145),
       INDEX('General Information'!$D$108:$D$132, MATCH(C145, 'General Information'!$C$108:$C$132, 0)) = ""),
   "VALUE INCONSISTENCY",
IFERROR(VLOOKUP(C145, ListOfSitesTable, 5, FALSE), "") &amp; " " &amp;
IFERROR(VLOOKUP(C145, ListOfSitesTable, 4, FALSE), "") &amp; " " &amp;
IFERROR(VLOOKUP(C145, ListOfSitesTable, 2, FALSE), ""))))</f>
        <v/>
      </c>
      <c r="E145" s="656"/>
      <c r="F145" s="657"/>
      <c r="G145" s="648"/>
      <c r="H145" s="649"/>
      <c r="I145" s="650"/>
      <c r="J145" s="274" t="b">
        <v>0</v>
      </c>
      <c r="K145" s="269" t="b">
        <v>0</v>
      </c>
      <c r="L145" s="17" t="str">
        <f t="shared" si="4"/>
        <v/>
      </c>
      <c r="M145" s="10"/>
      <c r="N145" s="10"/>
      <c r="O145" s="10"/>
      <c r="P145" s="10"/>
      <c r="Q145" s="10"/>
    </row>
    <row r="146" spans="3:17" ht="15" hidden="1" outlineLevel="1">
      <c r="C146" s="259"/>
      <c r="D146" s="655" t="str">
        <f>IF(C146 = "", "",
IF(COUNTIF($C$128:C145, C146), "VALUE INCONSISTENCY",
IF(AND(COUNTIF('General Information'!$C$108:$C$132, C146),
       INDEX('General Information'!$D$108:$D$132, MATCH(C146, 'General Information'!$C$108:$C$132, 0)) = ""),
   "VALUE INCONSISTENCY",
IFERROR(VLOOKUP(C146, ListOfSitesTable, 5, FALSE), "") &amp; " " &amp;
IFERROR(VLOOKUP(C146, ListOfSitesTable, 4, FALSE), "") &amp; " " &amp;
IFERROR(VLOOKUP(C146, ListOfSitesTable, 2, FALSE), ""))))</f>
        <v/>
      </c>
      <c r="E146" s="656"/>
      <c r="F146" s="657"/>
      <c r="G146" s="648"/>
      <c r="H146" s="649"/>
      <c r="I146" s="650"/>
      <c r="J146" s="274" t="b">
        <v>0</v>
      </c>
      <c r="K146" s="269" t="b">
        <v>0</v>
      </c>
      <c r="L146" s="17" t="str">
        <f t="shared" si="4"/>
        <v/>
      </c>
      <c r="M146" s="10"/>
      <c r="N146" s="10"/>
      <c r="O146" s="10"/>
      <c r="P146" s="10"/>
      <c r="Q146" s="10"/>
    </row>
    <row r="147" spans="3:17" ht="15" hidden="1" outlineLevel="1">
      <c r="C147" s="259"/>
      <c r="D147" s="655" t="str">
        <f>IF(C147 = "", "",
IF(COUNTIF($C$128:C146, C147), "VALUE INCONSISTENCY",
IF(AND(COUNTIF('General Information'!$C$108:$C$132, C147),
       INDEX('General Information'!$D$108:$D$132, MATCH(C147, 'General Information'!$C$108:$C$132, 0)) = ""),
   "VALUE INCONSISTENCY",
IFERROR(VLOOKUP(C147, ListOfSitesTable, 5, FALSE), "") &amp; " " &amp;
IFERROR(VLOOKUP(C147, ListOfSitesTable, 4, FALSE), "") &amp; " " &amp;
IFERROR(VLOOKUP(C147, ListOfSitesTable, 2, FALSE), ""))))</f>
        <v/>
      </c>
      <c r="E147" s="656"/>
      <c r="F147" s="657"/>
      <c r="G147" s="648"/>
      <c r="H147" s="649"/>
      <c r="I147" s="650"/>
      <c r="J147" s="274" t="b">
        <v>0</v>
      </c>
      <c r="K147" s="269" t="b">
        <v>0</v>
      </c>
      <c r="L147" s="17" t="str">
        <f t="shared" si="4"/>
        <v/>
      </c>
      <c r="M147" s="10"/>
      <c r="N147" s="10"/>
      <c r="O147" s="10"/>
      <c r="P147" s="10"/>
      <c r="Q147" s="10"/>
    </row>
    <row r="148" spans="3:17" ht="15" hidden="1" outlineLevel="1">
      <c r="C148" s="259"/>
      <c r="D148" s="655" t="str">
        <f>IF(C148 = "", "",
IF(COUNTIF($C$128:C147, C148), "VALUE INCONSISTENCY",
IF(AND(COUNTIF('General Information'!$C$108:$C$132, C148),
       INDEX('General Information'!$D$108:$D$132, MATCH(C148, 'General Information'!$C$108:$C$132, 0)) = ""),
   "VALUE INCONSISTENCY",
IFERROR(VLOOKUP(C148, ListOfSitesTable, 5, FALSE), "") &amp; " " &amp;
IFERROR(VLOOKUP(C148, ListOfSitesTable, 4, FALSE), "") &amp; " " &amp;
IFERROR(VLOOKUP(C148, ListOfSitesTable, 2, FALSE), ""))))</f>
        <v/>
      </c>
      <c r="E148" s="656"/>
      <c r="F148" s="657"/>
      <c r="G148" s="648"/>
      <c r="H148" s="649"/>
      <c r="I148" s="650"/>
      <c r="J148" s="274" t="b">
        <v>0</v>
      </c>
      <c r="K148" s="269" t="b">
        <v>0</v>
      </c>
      <c r="L148" s="17" t="str">
        <f t="shared" si="4"/>
        <v/>
      </c>
      <c r="M148" s="10"/>
      <c r="N148" s="10"/>
      <c r="O148" s="10"/>
      <c r="P148" s="10"/>
      <c r="Q148" s="10"/>
    </row>
    <row r="149" spans="3:17" ht="15" hidden="1" outlineLevel="1">
      <c r="C149" s="259"/>
      <c r="D149" s="655" t="str">
        <f>IF(C149 = "", "",
IF(COUNTIF($C$128:C148, C149), "VALUE INCONSISTENCY",
IF(AND(COUNTIF('General Information'!$C$108:$C$132, C149),
       INDEX('General Information'!$D$108:$D$132, MATCH(C149, 'General Information'!$C$108:$C$132, 0)) = ""),
   "VALUE INCONSISTENCY",
IFERROR(VLOOKUP(C149, ListOfSitesTable, 5, FALSE), "") &amp; " " &amp;
IFERROR(VLOOKUP(C149, ListOfSitesTable, 4, FALSE), "") &amp; " " &amp;
IFERROR(VLOOKUP(C149, ListOfSitesTable, 2, FALSE), ""))))</f>
        <v/>
      </c>
      <c r="E149" s="656"/>
      <c r="F149" s="657"/>
      <c r="G149" s="648"/>
      <c r="H149" s="649"/>
      <c r="I149" s="650"/>
      <c r="J149" s="274" t="b">
        <v>0</v>
      </c>
      <c r="K149" s="269" t="b">
        <v>0</v>
      </c>
      <c r="L149" s="17" t="str">
        <f t="shared" si="4"/>
        <v/>
      </c>
      <c r="M149" s="10"/>
      <c r="N149" s="10"/>
      <c r="O149" s="10"/>
      <c r="P149" s="10"/>
      <c r="Q149" s="10"/>
    </row>
    <row r="150" spans="3:17" ht="15" hidden="1" outlineLevel="1">
      <c r="C150" s="259"/>
      <c r="D150" s="655" t="str">
        <f>IF(C150 = "", "",
IF(COUNTIF($C$128:C149, C150), "VALUE INCONSISTENCY",
IF(AND(COUNTIF('General Information'!$C$108:$C$132, C150),
       INDEX('General Information'!$D$108:$D$132, MATCH(C150, 'General Information'!$C$108:$C$132, 0)) = ""),
   "VALUE INCONSISTENCY",
IFERROR(VLOOKUP(C150, ListOfSitesTable, 5, FALSE), "") &amp; " " &amp;
IFERROR(VLOOKUP(C150, ListOfSitesTable, 4, FALSE), "") &amp; " " &amp;
IFERROR(VLOOKUP(C150, ListOfSitesTable, 2, FALSE), ""))))</f>
        <v/>
      </c>
      <c r="E150" s="656"/>
      <c r="F150" s="657"/>
      <c r="G150" s="648"/>
      <c r="H150" s="649"/>
      <c r="I150" s="650"/>
      <c r="J150" s="274" t="b">
        <v>0</v>
      </c>
      <c r="K150" s="269" t="b">
        <v>0</v>
      </c>
      <c r="L150" s="17" t="str">
        <f t="shared" si="4"/>
        <v/>
      </c>
      <c r="M150" s="10"/>
      <c r="N150" s="10"/>
      <c r="O150" s="10"/>
      <c r="P150" s="10"/>
      <c r="Q150" s="10"/>
    </row>
    <row r="151" spans="3:17" ht="15" hidden="1" outlineLevel="1">
      <c r="C151" s="259"/>
      <c r="D151" s="655" t="str">
        <f>IF(C151 = "", "",
IF(COUNTIF($C$128:C150, C151), "VALUE INCONSISTENCY",
IF(AND(COUNTIF('General Information'!$C$108:$C$132, C151),
       INDEX('General Information'!$D$108:$D$132, MATCH(C151, 'General Information'!$C$108:$C$132, 0)) = ""),
   "VALUE INCONSISTENCY",
IFERROR(VLOOKUP(C151, ListOfSitesTable, 5, FALSE), "") &amp; " " &amp;
IFERROR(VLOOKUP(C151, ListOfSitesTable, 4, FALSE), "") &amp; " " &amp;
IFERROR(VLOOKUP(C151, ListOfSitesTable, 2, FALSE), ""))))</f>
        <v/>
      </c>
      <c r="E151" s="656"/>
      <c r="F151" s="657"/>
      <c r="G151" s="648"/>
      <c r="H151" s="649"/>
      <c r="I151" s="650"/>
      <c r="J151" s="274" t="b">
        <v>0</v>
      </c>
      <c r="K151" s="269" t="b">
        <v>0</v>
      </c>
      <c r="L151" s="17" t="str">
        <f t="shared" si="4"/>
        <v/>
      </c>
      <c r="M151" s="10"/>
      <c r="N151" s="10"/>
      <c r="O151" s="10"/>
      <c r="P151" s="10"/>
      <c r="Q151" s="10"/>
    </row>
    <row r="152" spans="3:17" ht="15" hidden="1" outlineLevel="1">
      <c r="C152" s="259"/>
      <c r="D152" s="655" t="str">
        <f>IF(C152 = "", "",
IF(COUNTIF($C$128:C151, C152), "VALUE INCONSISTENCY",
IF(AND(COUNTIF('General Information'!$C$108:$C$132, C152),
       INDEX('General Information'!$D$108:$D$132, MATCH(C152, 'General Information'!$C$108:$C$132, 0)) = ""),
   "VALUE INCONSISTENCY",
IFERROR(VLOOKUP(C152, ListOfSitesTable, 5, FALSE), "") &amp; " " &amp;
IFERROR(VLOOKUP(C152, ListOfSitesTable, 4, FALSE), "") &amp; " " &amp;
IFERROR(VLOOKUP(C152, ListOfSitesTable, 2, FALSE), ""))))</f>
        <v/>
      </c>
      <c r="E152" s="656"/>
      <c r="F152" s="657"/>
      <c r="G152" s="670"/>
      <c r="H152" s="649"/>
      <c r="I152" s="650"/>
      <c r="J152" s="274" t="b">
        <v>0</v>
      </c>
      <c r="K152" s="269" t="b">
        <v>0</v>
      </c>
      <c r="L152" s="17" t="str">
        <f t="shared" si="4"/>
        <v/>
      </c>
      <c r="M152" s="10"/>
      <c r="N152" s="10"/>
      <c r="O152" s="10"/>
      <c r="P152" s="10"/>
      <c r="Q152" s="10"/>
    </row>
    <row r="153" spans="3:17" ht="15.75" hidden="1" outlineLevel="1" thickBot="1">
      <c r="C153" s="261"/>
      <c r="D153" s="655" t="str">
        <f>IF(C153 = "", "",
IF(COUNTIF($C$128:C152, C153), "VALUE INCONSISTENCY",
IF(AND(COUNTIF('General Information'!$C$108:$C$132, C153),
       INDEX('General Information'!$D$108:$D$132, MATCH(C153, 'General Information'!$C$108:$C$132, 0)) = ""),
   "VALUE INCONSISTENCY",
IFERROR(VLOOKUP(C153, ListOfSitesTable, 5, FALSE), "") &amp; " " &amp;
IFERROR(VLOOKUP(C153, ListOfSitesTable, 4, FALSE), "") &amp; " " &amp;
IFERROR(VLOOKUP(C153, ListOfSitesTable, 2, FALSE), ""))))</f>
        <v/>
      </c>
      <c r="E153" s="656"/>
      <c r="F153" s="657"/>
      <c r="G153" s="834"/>
      <c r="H153" s="776"/>
      <c r="I153" s="835"/>
      <c r="J153" s="275" t="b">
        <v>0</v>
      </c>
      <c r="K153" s="270" t="b">
        <v>0</v>
      </c>
      <c r="L153" s="17" t="str">
        <f t="shared" si="4"/>
        <v/>
      </c>
      <c r="M153" s="10"/>
      <c r="N153" s="10"/>
      <c r="O153" s="10"/>
      <c r="P153" s="10"/>
      <c r="Q153" s="10"/>
    </row>
    <row r="154" spans="3:17" ht="15" collapsed="1" thickBot="1">
      <c r="D154" s="14"/>
      <c r="E154" s="14"/>
      <c r="F154" s="14"/>
      <c r="H154" s="14"/>
      <c r="I154" s="14"/>
      <c r="J154" s="14"/>
    </row>
    <row r="155" spans="3:17" ht="15">
      <c r="C155" s="599" t="str">
        <f>"B5 - Biodiversity - Land-use  " &amp; template_reporting_period_display &amp; "  [May (optional)]"</f>
        <v>B5 - Biodiversity - Land-use  from 2024-01-01 to 2024-12-31  [May (optional)]</v>
      </c>
      <c r="D155" s="600"/>
      <c r="E155" s="600"/>
      <c r="F155" s="601"/>
    </row>
    <row r="156" spans="3:17">
      <c r="C156" s="515">
        <v>34</v>
      </c>
      <c r="D156" s="516"/>
      <c r="E156" s="516"/>
      <c r="F156" s="517"/>
    </row>
    <row r="157" spans="3:17">
      <c r="C157" s="512" t="s">
        <v>4595</v>
      </c>
      <c r="D157" s="513"/>
      <c r="E157" s="513"/>
      <c r="F157" s="514"/>
    </row>
    <row r="158" spans="3:17" ht="16.899999999999999" customHeight="1">
      <c r="C158" s="769" t="s">
        <v>3797</v>
      </c>
      <c r="D158" s="664"/>
      <c r="E158" s="664"/>
      <c r="F158" s="665"/>
    </row>
    <row r="159" spans="3:17" ht="15">
      <c r="C159" s="770"/>
      <c r="D159" s="771"/>
      <c r="E159" s="771"/>
      <c r="F159" s="772"/>
      <c r="G159" s="16" t="str">
        <f>IF(C159&lt;&gt;"","OK",IF(AND(OR(D161&lt;&gt;"",D162&lt;&gt;"",D163&lt;&gt;"",D164&lt;&gt;""),C159=""),"MISSING VALUE",""))</f>
        <v/>
      </c>
      <c r="H159" s="143"/>
      <c r="K159" s="16"/>
    </row>
    <row r="160" spans="3:17" ht="15">
      <c r="C160" s="144" t="s">
        <v>22</v>
      </c>
      <c r="D160" s="664" t="s">
        <v>4285</v>
      </c>
      <c r="E160" s="664"/>
      <c r="F160" s="665"/>
      <c r="G160" s="16"/>
      <c r="H160" s="143"/>
      <c r="K160" s="16"/>
    </row>
    <row r="161" spans="3:12" ht="15">
      <c r="C161" s="145" t="s">
        <v>23</v>
      </c>
      <c r="D161" s="666"/>
      <c r="E161" s="666"/>
      <c r="F161" s="667"/>
      <c r="G161" s="652" t="str">
        <f>IF(AND(G159="OK",COUNTIF(D161:F164,"&lt;&gt;")&gt;0),
"OK",
IF(AND(G159="OK",COUNTA(D161:F164)=0),
"MISSING VALUE",IF(AND(G159="MISSING VALUE",COUNTIF(D161:F164,"&lt;&gt;")&gt;0),"VALUE INCONSISTENCY",
""
)
))</f>
        <v/>
      </c>
      <c r="H161" s="146"/>
      <c r="K161" s="16"/>
    </row>
    <row r="162" spans="3:12" ht="15">
      <c r="C162" s="147" t="s">
        <v>24</v>
      </c>
      <c r="D162" s="658"/>
      <c r="E162" s="659"/>
      <c r="F162" s="660"/>
      <c r="G162" s="652"/>
      <c r="H162" s="146"/>
      <c r="K162" s="16"/>
    </row>
    <row r="163" spans="3:12" ht="15">
      <c r="C163" s="147" t="s">
        <v>25</v>
      </c>
      <c r="D163" s="658"/>
      <c r="E163" s="659"/>
      <c r="F163" s="660"/>
      <c r="G163" s="652"/>
      <c r="H163" s="146"/>
      <c r="K163" s="16"/>
    </row>
    <row r="164" spans="3:12" ht="15.75" thickBot="1">
      <c r="C164" s="134" t="s">
        <v>26</v>
      </c>
      <c r="D164" s="661"/>
      <c r="E164" s="662"/>
      <c r="F164" s="663"/>
      <c r="G164" s="652"/>
      <c r="H164" s="146"/>
      <c r="K164" s="16"/>
    </row>
    <row r="165" spans="3:12" ht="15" thickBot="1"/>
    <row r="166" spans="3:12" ht="15">
      <c r="C166" s="599" t="str">
        <f xml:space="preserve"> "B6 - Water Withdrawal " &amp; template_reporting_period_display &amp; " [Always to be reported]"</f>
        <v>B6 - Water Withdrawal from 2024-01-01 to 2024-12-31 [Always to be reported]</v>
      </c>
      <c r="D166" s="825"/>
      <c r="E166" s="15"/>
      <c r="F166" s="15"/>
      <c r="G166" s="16"/>
      <c r="H166" s="16"/>
      <c r="I166" s="16"/>
      <c r="K166" s="16"/>
    </row>
    <row r="167" spans="3:12" ht="15">
      <c r="C167" s="515">
        <v>35</v>
      </c>
      <c r="D167" s="684"/>
      <c r="E167" s="148"/>
      <c r="F167" s="148"/>
      <c r="G167" s="16"/>
      <c r="H167" s="16"/>
      <c r="I167" s="16"/>
    </row>
    <row r="168" spans="3:12" ht="15">
      <c r="C168" s="512" t="s">
        <v>4596</v>
      </c>
      <c r="D168" s="775"/>
      <c r="E168" s="149"/>
      <c r="F168" s="149"/>
      <c r="G168" s="16"/>
      <c r="H168" s="16"/>
      <c r="I168" s="16"/>
      <c r="K168" s="53"/>
      <c r="L168" s="53"/>
    </row>
    <row r="169" spans="3:12" ht="15">
      <c r="C169" s="120" t="s">
        <v>4397</v>
      </c>
      <c r="D169" s="325">
        <v>955</v>
      </c>
      <c r="E169" s="826" t="str">
        <f>IF(AND(OR('General Information'!E32="Option A (Basic Module only)", 'General Information'!E32="Option B (Basic Module and Comprehensive Module)"),TotalAmountOfWaterWithdrawnFromAllSites=""),"MISSING VALUE",IF('General Information'!E32="","","OK"))</f>
        <v>OK</v>
      </c>
      <c r="F169" s="827"/>
      <c r="G169" s="16"/>
      <c r="H169" s="16"/>
      <c r="I169" s="16"/>
    </row>
    <row r="170" spans="3:12" ht="15.75" thickBot="1">
      <c r="C170" s="150" t="s">
        <v>4398</v>
      </c>
      <c r="D170" s="326">
        <v>0</v>
      </c>
      <c r="E170" s="796" t="str">
        <f>IF(AND(OR('General Information'!E32="Option A (Basic Module only)", 'General Information'!E32="Option B (Basic Module and Comprehensive Module)"),AmountOfWaterWithdrawnAtSitesLocatedInAreasOfHighWaterStress=""),"MISSING VALUE",IF('General Information'!E32="","","OK"))</f>
        <v>OK</v>
      </c>
      <c r="F170" s="797"/>
      <c r="G170" s="16"/>
      <c r="H170" s="16"/>
      <c r="I170" s="16"/>
    </row>
    <row r="171" spans="3:12" ht="15" thickBot="1">
      <c r="K171" s="39"/>
    </row>
    <row r="172" spans="3:12" ht="15">
      <c r="C172" s="599" t="str">
        <f xml:space="preserve"> "B6 - Water Consumption " &amp; template_reporting_period_display &amp; " [If applicable]"</f>
        <v>B6 - Water Consumption from 2024-01-01 to 2024-12-31 [If applicable]</v>
      </c>
      <c r="D172" s="825"/>
      <c r="E172" s="15"/>
      <c r="F172" s="15"/>
    </row>
    <row r="173" spans="3:12">
      <c r="C173" s="635">
        <v>36</v>
      </c>
      <c r="D173" s="637"/>
      <c r="E173" s="148"/>
      <c r="F173" s="148"/>
    </row>
    <row r="174" spans="3:12">
      <c r="C174" s="512" t="s">
        <v>4597</v>
      </c>
      <c r="D174" s="514"/>
      <c r="E174" s="149"/>
      <c r="F174" s="149"/>
    </row>
    <row r="175" spans="3:12" ht="50.65" customHeight="1">
      <c r="C175" s="152" t="s">
        <v>4641</v>
      </c>
      <c r="D175" s="167" t="b">
        <v>0</v>
      </c>
      <c r="E175" s="151"/>
      <c r="F175" s="151"/>
      <c r="G175" s="16"/>
      <c r="H175" s="16"/>
      <c r="I175" s="16"/>
    </row>
    <row r="176" spans="3:12" ht="15.75" thickBot="1">
      <c r="C176" s="150" t="s">
        <v>4286</v>
      </c>
      <c r="D176" s="343"/>
      <c r="E176" s="797" t="str">
        <f>IF(AND(D175=TRUE,D176=""),"MISSING VALUE",IF(AND(D175=TRUE,D176&lt;&gt;""),"OK",""))</f>
        <v/>
      </c>
      <c r="F176" s="797"/>
      <c r="G176" s="16"/>
      <c r="H176" s="16"/>
      <c r="I176" s="16"/>
    </row>
    <row r="177" spans="3:13" ht="21" customHeight="1" thickBot="1">
      <c r="C177" s="153" t="s">
        <v>4396</v>
      </c>
      <c r="D177" s="344" t="str">
        <f>IF(D176&lt;&gt;"",$D$169-$D$176,"-")</f>
        <v>-</v>
      </c>
      <c r="E177" s="154"/>
      <c r="F177" s="154"/>
    </row>
    <row r="178" spans="3:13" ht="15" thickBot="1"/>
    <row r="179" spans="3:13" ht="15">
      <c r="C179" s="632" t="str">
        <f xml:space="preserve"> "B7 - Description of circular economy principles " &amp; template_reporting_period_display &amp; " [Always to be reported]"</f>
        <v>B7 - Description of circular economy principles from 2024-01-01 to 2024-12-31 [Always to be reported]</v>
      </c>
      <c r="D179" s="633"/>
      <c r="E179" s="798"/>
      <c r="F179" s="798"/>
      <c r="G179" s="634"/>
      <c r="H179" s="16"/>
      <c r="I179" s="16"/>
    </row>
    <row r="180" spans="3:13">
      <c r="C180" s="635">
        <v>37</v>
      </c>
      <c r="D180" s="636"/>
      <c r="E180" s="799"/>
      <c r="F180" s="799"/>
      <c r="G180" s="637"/>
      <c r="H180" s="155"/>
      <c r="I180" s="155"/>
    </row>
    <row r="181" spans="3:13">
      <c r="C181" s="629">
        <v>159</v>
      </c>
      <c r="D181" s="630"/>
      <c r="E181" s="557"/>
      <c r="F181" s="557"/>
      <c r="G181" s="631"/>
      <c r="H181" s="156"/>
      <c r="I181" s="156"/>
    </row>
    <row r="182" spans="3:13" ht="15">
      <c r="C182" s="118" t="s">
        <v>4297</v>
      </c>
      <c r="D182" s="828" t="s">
        <v>3623</v>
      </c>
      <c r="E182" s="829"/>
      <c r="F182" s="829"/>
      <c r="G182" s="830"/>
      <c r="H182" s="675" t="str">
        <f>IF(AND(OR('General Information'!E32="Option A (Basic Module only)", 'General Information'!E32="Option B (Basic Module and Comprehensive Module)"),UndertakingAppliesCircularEconomyPrinciples=""),"MISSING VALUE",IF('General Information'!E32="","","OK"))</f>
        <v>OK</v>
      </c>
      <c r="I182" s="499"/>
      <c r="J182" s="16"/>
    </row>
    <row r="183" spans="3:13" ht="15.75" thickBot="1">
      <c r="C183" s="137" t="s">
        <v>3637</v>
      </c>
      <c r="D183" s="588"/>
      <c r="E183" s="596"/>
      <c r="F183" s="596"/>
      <c r="G183" s="589"/>
      <c r="H183" s="675" t="str">
        <f>IF(AND(D182="YES",D183=""),"MISSING VALUE",IF(AND(D182="YES",D183&lt;&gt;""),"OK",IF(AND(D182="NO",D183&lt;&gt;""),"VALUE INCONSISTENCY","")))</f>
        <v/>
      </c>
      <c r="I183" s="499"/>
      <c r="J183" s="16"/>
    </row>
    <row r="184" spans="3:13" ht="15" thickBot="1"/>
    <row r="185" spans="3:13" ht="15">
      <c r="C185" s="632" t="str">
        <f>"B7 - Waste generated " &amp; template_reporting_period_display &amp; " [Always to be reported]"</f>
        <v>B7 - Waste generated from 2024-01-01 to 2024-12-31 [Always to be reported]</v>
      </c>
      <c r="D185" s="633"/>
      <c r="E185" s="633"/>
      <c r="F185" s="633"/>
      <c r="G185" s="633"/>
      <c r="H185" s="633"/>
      <c r="I185" s="633"/>
      <c r="J185" s="633"/>
      <c r="K185" s="633"/>
      <c r="L185" s="634"/>
    </row>
    <row r="186" spans="3:13">
      <c r="C186" s="635" t="s">
        <v>4561</v>
      </c>
      <c r="D186" s="636"/>
      <c r="E186" s="636"/>
      <c r="F186" s="636"/>
      <c r="G186" s="636"/>
      <c r="H186" s="636"/>
      <c r="I186" s="636"/>
      <c r="J186" s="636"/>
      <c r="K186" s="636"/>
      <c r="L186" s="637"/>
    </row>
    <row r="187" spans="3:13">
      <c r="C187" s="629" t="s">
        <v>4598</v>
      </c>
      <c r="D187" s="630"/>
      <c r="E187" s="630"/>
      <c r="F187" s="630"/>
      <c r="G187" s="630"/>
      <c r="H187" s="630"/>
      <c r="I187" s="630"/>
      <c r="J187" s="630"/>
      <c r="K187" s="630"/>
      <c r="L187" s="631"/>
    </row>
    <row r="188" spans="3:13" ht="49.15" customHeight="1">
      <c r="C188" s="157" t="s">
        <v>20</v>
      </c>
      <c r="D188" s="714" t="s">
        <v>2781</v>
      </c>
      <c r="E188" s="714"/>
      <c r="F188" s="714"/>
      <c r="G188" s="716" t="s">
        <v>2777</v>
      </c>
      <c r="H188" s="716"/>
      <c r="I188" s="716"/>
      <c r="J188" s="158" t="s">
        <v>4307</v>
      </c>
      <c r="K188" s="159" t="s">
        <v>3804</v>
      </c>
      <c r="L188" s="160" t="s">
        <v>3805</v>
      </c>
    </row>
    <row r="189" spans="3:13" ht="15">
      <c r="C189" s="443">
        <v>1</v>
      </c>
      <c r="D189" s="671" t="s">
        <v>3151</v>
      </c>
      <c r="E189" s="671"/>
      <c r="F189" s="671"/>
      <c r="G189" s="651" t="s">
        <v>2778</v>
      </c>
      <c r="H189" s="651"/>
      <c r="I189" s="651"/>
      <c r="J189" s="327">
        <v>3610</v>
      </c>
      <c r="K189" s="328">
        <v>0</v>
      </c>
      <c r="L189" s="329">
        <f>IF(AND(D189="",J189="",K189=""),"-",SUM(J189:K189))</f>
        <v>3610</v>
      </c>
      <c r="M189" s="16" t="str">
        <f>IF(OR('General Information'!E32 = "Option A (Basic Module only)", 'General Information'!E32 = "Option B (Basic Module and Comprehensive Module)"),
    IF(COUNTIF(enum_ListWasteCategories, D189) &gt; 0, "ERROR",
        IF(OR(D189 = "", G189 = "", J189 = "", K189 = ""), "MISSING VALUE",
            IF(COUNTIF(D189:D203, D189) &gt; 1, "VALUE INCONSISTENCY", "OK")
        )
    ),
    ""
)</f>
        <v>OK</v>
      </c>
    </row>
    <row r="190" spans="3:13" ht="15">
      <c r="C190" s="443">
        <v>2</v>
      </c>
      <c r="D190" s="671" t="s">
        <v>3074</v>
      </c>
      <c r="E190" s="671"/>
      <c r="F190" s="671"/>
      <c r="G190" s="651" t="s">
        <v>2778</v>
      </c>
      <c r="H190" s="651"/>
      <c r="I190" s="651"/>
      <c r="J190" s="330">
        <v>0</v>
      </c>
      <c r="K190" s="330">
        <v>3538</v>
      </c>
      <c r="L190" s="331">
        <f t="shared" ref="L190:L203" si="5">IF(AND(D190="",J190="",K190=""),"-",SUM(J190:K190))</f>
        <v>3538</v>
      </c>
      <c r="M190" s="16" t="str">
        <f t="shared" ref="M190:M203" si="6">IF(COUNTIF(enum_ListWasteCategories,D190)&gt;0,"ERROR",
IF(AND(D190&lt;&gt;"",G190&lt;&gt;"",J190&lt;&gt;"",K190&lt;&gt;""),
IF(COUNTIF($D$189:$D$203,D190)&gt;1,"VALUE INCONSISTENCY","OK"),
IF(AND(D190&lt;&gt;"",G190&lt;&gt;"",J190&lt;&gt;"",K190=""),"MISSING VALUE",
IF(AND(D190&lt;&gt;"",G190&lt;&gt;"",J190="",K190&lt;&gt;""),"MISSING VALUE",
IF(AND(D190&lt;&gt;"",G190="",J190&lt;&gt;"",K190&lt;&gt;""),"MISSING VALUE",
IF(AND(D190="",G190&lt;&gt;"",J190&lt;&gt;"",K190&lt;&gt;""),"MISSING VALUE",
IF(AND(D190&lt;&gt;"",G190&lt;&gt;"",J190="",K190=""),"MISSING VALUE",
IF(AND(D190&lt;&gt;"",G190="",J190&lt;&gt;"",K190=""),"MISSING VALUE",
IF(AND(D190&lt;&gt;"",G190="",J190="",K190&lt;&gt;""),"MISSING VALUE",
IF(AND(D190="",G190="",J190&lt;&gt;"",K190&lt;&gt;""),"MISSING VALUE",
IF(AND(D190="",G190&lt;&gt;"",J190="",K190&lt;&gt;""),"MISSING VALUE",
IF(AND(D190="",G190&lt;&gt;"",J190&lt;&gt;"",K190=""),"MISSING VALUE",
IF(AND(D190="",G190="",J190="",K190&lt;&gt;""),"MISSING VALUE",
IF(AND(D190="",G190="",J190&lt;&gt;"",K190=""),"MISSING VALUE",
IF(AND(D190="",G190&lt;&gt;"",J190="",K190=""),"MISSING VALUE",
IF(AND(D190&lt;&gt;"",G190="",J190="",K190=""),"MISSING VALUE",
""))))))))))))))))</f>
        <v>OK</v>
      </c>
    </row>
    <row r="191" spans="3:13" ht="15.75" thickBot="1">
      <c r="C191" s="444">
        <v>3</v>
      </c>
      <c r="D191" s="713" t="s">
        <v>3071</v>
      </c>
      <c r="E191" s="713"/>
      <c r="F191" s="713"/>
      <c r="G191" s="695" t="s">
        <v>2778</v>
      </c>
      <c r="H191" s="695"/>
      <c r="I191" s="695"/>
      <c r="J191" s="332">
        <v>1730</v>
      </c>
      <c r="K191" s="332">
        <v>0</v>
      </c>
      <c r="L191" s="333">
        <f t="shared" si="5"/>
        <v>1730</v>
      </c>
      <c r="M191" s="16" t="str">
        <f t="shared" si="6"/>
        <v>OK</v>
      </c>
    </row>
    <row r="192" spans="3:13" ht="15" outlineLevel="1">
      <c r="C192" s="441">
        <v>4</v>
      </c>
      <c r="D192" s="715" t="s">
        <v>3158</v>
      </c>
      <c r="E192" s="715"/>
      <c r="F192" s="715"/>
      <c r="G192" s="696" t="s">
        <v>2778</v>
      </c>
      <c r="H192" s="696"/>
      <c r="I192" s="696"/>
      <c r="J192" s="334">
        <v>832</v>
      </c>
      <c r="K192" s="334">
        <v>0</v>
      </c>
      <c r="L192" s="335">
        <f t="shared" si="5"/>
        <v>832</v>
      </c>
      <c r="M192" s="16" t="str">
        <f t="shared" si="6"/>
        <v>OK</v>
      </c>
    </row>
    <row r="193" spans="3:13" ht="15" outlineLevel="1">
      <c r="C193" s="443">
        <v>5</v>
      </c>
      <c r="D193" s="671" t="s">
        <v>3169</v>
      </c>
      <c r="E193" s="671"/>
      <c r="F193" s="671"/>
      <c r="G193" s="651" t="s">
        <v>2778</v>
      </c>
      <c r="H193" s="651"/>
      <c r="I193" s="651"/>
      <c r="J193" s="330">
        <v>10563</v>
      </c>
      <c r="K193" s="330">
        <v>0</v>
      </c>
      <c r="L193" s="331">
        <f t="shared" si="5"/>
        <v>10563</v>
      </c>
      <c r="M193" s="16" t="str">
        <f t="shared" si="6"/>
        <v>OK</v>
      </c>
    </row>
    <row r="194" spans="3:13" ht="15" outlineLevel="1">
      <c r="C194" s="443">
        <v>6</v>
      </c>
      <c r="D194" s="672" t="s">
        <v>3069</v>
      </c>
      <c r="E194" s="673"/>
      <c r="F194" s="674"/>
      <c r="G194" s="651" t="s">
        <v>2778</v>
      </c>
      <c r="H194" s="651"/>
      <c r="I194" s="651"/>
      <c r="J194" s="330">
        <v>5530</v>
      </c>
      <c r="K194" s="330">
        <v>0</v>
      </c>
      <c r="L194" s="331">
        <f>IF(AND(D194="",J194="",K194=""),"-",SUM(J194:K194))</f>
        <v>5530</v>
      </c>
      <c r="M194" s="16" t="str">
        <f t="shared" si="6"/>
        <v>OK</v>
      </c>
    </row>
    <row r="195" spans="3:13" ht="15" outlineLevel="1">
      <c r="C195" s="443">
        <v>7</v>
      </c>
      <c r="D195" s="671" t="s">
        <v>3313</v>
      </c>
      <c r="E195" s="671"/>
      <c r="F195" s="671"/>
      <c r="G195" s="651" t="s">
        <v>2778</v>
      </c>
      <c r="H195" s="651"/>
      <c r="I195" s="651"/>
      <c r="J195" s="330">
        <v>735</v>
      </c>
      <c r="K195" s="330">
        <v>0</v>
      </c>
      <c r="L195" s="331">
        <f>IF(AND(D195="",J195="",K195=""),"-",SUM(J195:K195))</f>
        <v>735</v>
      </c>
      <c r="M195" s="16" t="str">
        <f t="shared" si="6"/>
        <v>OK</v>
      </c>
    </row>
    <row r="196" spans="3:13" ht="15" outlineLevel="1">
      <c r="C196" s="443">
        <v>8</v>
      </c>
      <c r="D196" s="671" t="s">
        <v>3552</v>
      </c>
      <c r="E196" s="671"/>
      <c r="F196" s="671"/>
      <c r="G196" s="651" t="s">
        <v>2778</v>
      </c>
      <c r="H196" s="651"/>
      <c r="I196" s="651"/>
      <c r="J196" s="330">
        <v>70.5</v>
      </c>
      <c r="K196" s="330">
        <v>0</v>
      </c>
      <c r="L196" s="331">
        <f t="shared" si="5"/>
        <v>70.5</v>
      </c>
      <c r="M196" s="16" t="str">
        <f t="shared" si="6"/>
        <v>OK</v>
      </c>
    </row>
    <row r="197" spans="3:13" ht="15" outlineLevel="1">
      <c r="C197" s="443">
        <v>9</v>
      </c>
      <c r="D197" s="671" t="s">
        <v>3380</v>
      </c>
      <c r="E197" s="671"/>
      <c r="F197" s="671"/>
      <c r="G197" s="651" t="s">
        <v>2778</v>
      </c>
      <c r="H197" s="651"/>
      <c r="I197" s="651"/>
      <c r="J197" s="330">
        <v>0</v>
      </c>
      <c r="K197" s="330">
        <v>1087</v>
      </c>
      <c r="L197" s="331">
        <f t="shared" si="5"/>
        <v>1087</v>
      </c>
      <c r="M197" s="16" t="str">
        <f t="shared" si="6"/>
        <v>OK</v>
      </c>
    </row>
    <row r="198" spans="3:13" ht="15" outlineLevel="1">
      <c r="C198" s="443">
        <v>10</v>
      </c>
      <c r="D198" s="671" t="s">
        <v>3558</v>
      </c>
      <c r="E198" s="671"/>
      <c r="F198" s="671"/>
      <c r="G198" s="651" t="s">
        <v>2778</v>
      </c>
      <c r="H198" s="651"/>
      <c r="I198" s="651"/>
      <c r="J198" s="330">
        <v>1873</v>
      </c>
      <c r="K198" s="330">
        <v>0</v>
      </c>
      <c r="L198" s="331">
        <f t="shared" si="5"/>
        <v>1873</v>
      </c>
      <c r="M198" s="16" t="str">
        <f t="shared" si="6"/>
        <v>OK</v>
      </c>
    </row>
    <row r="199" spans="3:13" ht="15" outlineLevel="1">
      <c r="C199" s="443">
        <v>11</v>
      </c>
      <c r="D199" s="671" t="s">
        <v>3081</v>
      </c>
      <c r="E199" s="671"/>
      <c r="F199" s="671"/>
      <c r="G199" s="651" t="s">
        <v>2778</v>
      </c>
      <c r="H199" s="651"/>
      <c r="I199" s="651"/>
      <c r="J199" s="330">
        <v>622</v>
      </c>
      <c r="K199" s="330">
        <v>0</v>
      </c>
      <c r="L199" s="331">
        <f t="shared" si="5"/>
        <v>622</v>
      </c>
      <c r="M199" s="16" t="str">
        <f t="shared" si="6"/>
        <v>OK</v>
      </c>
    </row>
    <row r="200" spans="3:13" ht="15" outlineLevel="1">
      <c r="C200" s="443">
        <v>12</v>
      </c>
      <c r="D200" s="671" t="s">
        <v>3111</v>
      </c>
      <c r="E200" s="671"/>
      <c r="F200" s="671"/>
      <c r="G200" s="651" t="s">
        <v>2778</v>
      </c>
      <c r="H200" s="651"/>
      <c r="I200" s="651"/>
      <c r="J200" s="330">
        <v>128</v>
      </c>
      <c r="K200" s="330">
        <v>0</v>
      </c>
      <c r="L200" s="331">
        <f t="shared" si="5"/>
        <v>128</v>
      </c>
      <c r="M200" s="16" t="str">
        <f t="shared" si="6"/>
        <v>OK</v>
      </c>
    </row>
    <row r="201" spans="3:13" ht="15" outlineLevel="1">
      <c r="C201" s="443">
        <v>13</v>
      </c>
      <c r="D201" s="671" t="s">
        <v>3113</v>
      </c>
      <c r="E201" s="671"/>
      <c r="F201" s="671"/>
      <c r="G201" s="651" t="s">
        <v>2778</v>
      </c>
      <c r="H201" s="651"/>
      <c r="I201" s="651"/>
      <c r="J201" s="330">
        <v>14</v>
      </c>
      <c r="K201" s="330">
        <v>0</v>
      </c>
      <c r="L201" s="331">
        <f t="shared" si="5"/>
        <v>14</v>
      </c>
      <c r="M201" s="16" t="str">
        <f t="shared" si="6"/>
        <v>OK</v>
      </c>
    </row>
    <row r="202" spans="3:13" ht="15" outlineLevel="1">
      <c r="C202" s="443">
        <v>14</v>
      </c>
      <c r="D202" s="671" t="s">
        <v>3106</v>
      </c>
      <c r="E202" s="671"/>
      <c r="F202" s="671"/>
      <c r="G202" s="651" t="s">
        <v>2778</v>
      </c>
      <c r="H202" s="651"/>
      <c r="I202" s="651"/>
      <c r="J202" s="330">
        <v>61</v>
      </c>
      <c r="K202" s="330">
        <v>0</v>
      </c>
      <c r="L202" s="331">
        <f t="shared" si="5"/>
        <v>61</v>
      </c>
      <c r="M202" s="16" t="str">
        <f t="shared" si="6"/>
        <v>OK</v>
      </c>
    </row>
    <row r="203" spans="3:13" ht="5.25" customHeight="1" outlineLevel="1" thickBot="1">
      <c r="C203" s="442">
        <v>15</v>
      </c>
      <c r="D203" s="712"/>
      <c r="E203" s="712"/>
      <c r="F203" s="712"/>
      <c r="G203" s="695"/>
      <c r="H203" s="695"/>
      <c r="I203" s="695"/>
      <c r="J203" s="336"/>
      <c r="K203" s="336"/>
      <c r="L203" s="333" t="str">
        <f t="shared" si="5"/>
        <v>-</v>
      </c>
      <c r="M203" s="16" t="str">
        <f t="shared" si="6"/>
        <v/>
      </c>
    </row>
    <row r="204" spans="3:13" ht="15">
      <c r="C204" s="706" t="s">
        <v>4399</v>
      </c>
      <c r="D204" s="653" t="s">
        <v>4400</v>
      </c>
      <c r="E204" s="653"/>
      <c r="F204" s="654"/>
      <c r="G204" s="668" t="s">
        <v>2778</v>
      </c>
      <c r="H204" s="668"/>
      <c r="I204" s="669"/>
      <c r="J204" s="702">
        <f>IF(OR(G204="", AND(D189="",J189="",K189="",D190="",J190="",K190="",D191="",J191="",K191="",D192="",J192="",K192="",D193="",J193="",K193="",D194="",J194="",K194="",D195="",J195="",K195="",D196="",J196="",K196="",D197="",J197="",K197="",D198="",J198="",K198="",D199="",J199="",K199="",D200="",J200="",K200="",D201="",J201="",K201="",D202="",J202="",K202="",D203="",J203="",K203="")),
    "-",
    IF(G204="metric tonnes (t)",
        SUMIFS(L189:L203, D189:D203, "* Hazardous *", G189:G203, "*kilograms (kg)*") / 1000 +
        SUMIFS(L189:L203, D189:D203, "* Hazardous *", G189:G203, "*metric tonnes (t)*"),
        SUMIFS(L189:L203, D189:D203, "* Hazardous *", G189:G203, "*kilograms (kg)*") +
        SUMIFS(L189:L203, D189:D203, "* Hazardous *", G189:G203, "*metric tonnes (t)*") * 1000
    )
)</f>
        <v>3030.5</v>
      </c>
      <c r="K204" s="702"/>
      <c r="L204" s="703"/>
      <c r="M204" s="16" t="str" cm="1">
        <f t="array" ref="M204">IF(G204="",
    IF(SUMPRODUCT(--((G189:G203="metric tonnes (t)")+(G189:G203="kilograms (kg)")))&gt;0,
        "MISSING VALUE",
        ""
    ),
    IF(SUMPRODUCT(--((G189:G203="metric tonnes (t)")+(G189:G203="kilograms (kg)")))&gt;0,
        "OK",
        ""
    )
)</f>
        <v>OK</v>
      </c>
    </row>
    <row r="205" spans="3:13" ht="15">
      <c r="C205" s="707"/>
      <c r="D205" s="678" t="s">
        <v>4401</v>
      </c>
      <c r="E205" s="678"/>
      <c r="F205" s="679"/>
      <c r="G205" s="627" t="str">
        <f>IF($G$204="", "-", $G$204)</f>
        <v>kilograms (kg)</v>
      </c>
      <c r="H205" s="627"/>
      <c r="I205" s="645"/>
      <c r="J205" s="625">
        <f>IF(OR(G204="", AND(D189="",J189="",K189="",D190="",J190="",K190="",D191="",J191="",K191="",D192="",J192="",K192="",D193="",J193="",K193="",D194="",J194="",K194="",D195="",J195="",K195="",D196="",J196="",K196="",D197="",J197="",K197="",D198="",J198="",K198="",D199="",J199="",K199="",D200="",J200="",K200="",D201="",J201="",K201="",D202="",J202="",K202="",D203="",J203="",K203="")),
    "-",
    IF(G204="metric tonnes (t)",
        SUMIFS(L189:L203, D189:D203, "* Non-Hazardous *", G189:G203, "*kilograms (kg)*") / 1000 +
        SUMIFS(L189:L203, D189:D203, "* Non-Hazardous *", G189:G203, "*metric tonnes (t)*"),
        SUMIFS(L189:L203, D189:D203, "* Non-Hazardous *", G189:G203, "*kilograms (kg)*") +
        SUMIFS(L189:L203, D189:D203, "* Non-Hazardous *", G189:G203, "*metric tonnes (t)*") * 1000
    )
)</f>
        <v>27363</v>
      </c>
      <c r="K205" s="625"/>
      <c r="L205" s="626"/>
    </row>
    <row r="206" spans="3:13" ht="15.75" thickBot="1">
      <c r="C206" s="707"/>
      <c r="D206" s="640" t="s">
        <v>4402</v>
      </c>
      <c r="E206" s="640"/>
      <c r="F206" s="641"/>
      <c r="G206" s="627" t="str">
        <f>IF($G$204="", "-", $G$204)</f>
        <v>kilograms (kg)</v>
      </c>
      <c r="H206" s="628"/>
      <c r="I206" s="646"/>
      <c r="J206" s="623">
        <f>IF(AND(J204="-",J205="-"),"-",SUM(J204:L205))</f>
        <v>30393.5</v>
      </c>
      <c r="K206" s="623"/>
      <c r="L206" s="624"/>
    </row>
    <row r="207" spans="3:13" ht="15">
      <c r="C207" s="707"/>
      <c r="D207" s="688" t="s">
        <v>4403</v>
      </c>
      <c r="E207" s="688"/>
      <c r="F207" s="689"/>
      <c r="G207" s="694" t="s">
        <v>2783</v>
      </c>
      <c r="H207" s="694"/>
      <c r="I207" s="694"/>
      <c r="J207" s="704">
        <f>IF(AND(D189="",J189="",K189="",D190="",J190="",K190="",D191="",J191="",K191="",D192="",J192="",K192="",D193="",J193="",K193="",D194="",J194="",K194="",D195="",J195="",K195="",D196="",J196="",K196="",D197="",J197="",K197="",D198="",J198="",K198="",D199="",J199="",K199="",D200="",J200="",K200="",D201="",J201="",K201="",D202="",J202="",K202="",D203="",J203="",K203=""),"-",SUMIFS(L189:L203, D189:D203,"* Hazardous *", G189:G203,"*cubic meters (m3)*"))</f>
        <v>0</v>
      </c>
      <c r="K207" s="704"/>
      <c r="L207" s="705"/>
    </row>
    <row r="208" spans="3:13" ht="15">
      <c r="C208" s="707"/>
      <c r="D208" s="678" t="s">
        <v>4404</v>
      </c>
      <c r="E208" s="678"/>
      <c r="F208" s="679"/>
      <c r="G208" s="627" t="s">
        <v>2783</v>
      </c>
      <c r="H208" s="627"/>
      <c r="I208" s="627"/>
      <c r="J208" s="625">
        <f>IF(AND(D189="",J189="",K189="",D190="",J190="",K190="",D191="",J191="",K191="",D192="",J192="",K192="",D193="",J193="",K193="",D194="",J194="",K194="",D195="",J195="",K195="",D196="",J196="",K196="",D197="",J197="",K197="",D198="",J198="",K198="",D199="",J199="",K199="",D200="",J200="",K200="",D201="",J201="",K201="",D202="",J202="",K202="",D203="",J203="",K203=""),"-",SUMIFS(L189:L203, D189:D203,"*Non-Hazardous*", G189:G203,"*cubic meters (m3)*"))</f>
        <v>0</v>
      </c>
      <c r="K208" s="625"/>
      <c r="L208" s="626"/>
    </row>
    <row r="209" spans="3:12" ht="15.75" thickBot="1">
      <c r="C209" s="708"/>
      <c r="D209" s="640" t="s">
        <v>4405</v>
      </c>
      <c r="E209" s="640"/>
      <c r="F209" s="641"/>
      <c r="G209" s="628" t="s">
        <v>2783</v>
      </c>
      <c r="H209" s="628"/>
      <c r="I209" s="628"/>
      <c r="J209" s="623">
        <f>IF(AND(J207="-",J208="-"),"-",SUM(J207:L208))</f>
        <v>0</v>
      </c>
      <c r="K209" s="623"/>
      <c r="L209" s="624"/>
    </row>
    <row r="210" spans="3:12" ht="15" thickBot="1"/>
    <row r="211" spans="3:12" ht="15">
      <c r="C211" s="632" t="str">
        <f xml:space="preserve"> "B7 – Annual mass-flow of relevant materials used " &amp; template_reporting_period_display &amp; " [If applicable]"</f>
        <v>B7 – Annual mass-flow of relevant materials used from 2024-01-01 to 2024-12-31 [If applicable]</v>
      </c>
      <c r="D211" s="633"/>
      <c r="E211" s="633"/>
      <c r="F211" s="633"/>
      <c r="G211" s="633"/>
      <c r="H211" s="633"/>
      <c r="I211" s="633"/>
      <c r="J211" s="634"/>
    </row>
    <row r="212" spans="3:12">
      <c r="C212" s="635" t="s">
        <v>4599</v>
      </c>
      <c r="D212" s="636"/>
      <c r="E212" s="636"/>
      <c r="F212" s="636"/>
      <c r="G212" s="636"/>
      <c r="H212" s="636"/>
      <c r="I212" s="636"/>
      <c r="J212" s="637"/>
    </row>
    <row r="213" spans="3:12" ht="15">
      <c r="C213" s="629" t="s">
        <v>4600</v>
      </c>
      <c r="D213" s="630"/>
      <c r="E213" s="630"/>
      <c r="F213" s="630"/>
      <c r="G213" s="630"/>
      <c r="H213" s="630"/>
      <c r="I213" s="630"/>
      <c r="J213" s="631"/>
      <c r="K213" s="11"/>
      <c r="L213" s="11"/>
    </row>
    <row r="214" spans="3:12" ht="30" customHeight="1">
      <c r="C214" s="507" t="s">
        <v>3827</v>
      </c>
      <c r="D214" s="638"/>
      <c r="E214" s="638"/>
      <c r="F214" s="639"/>
      <c r="G214" s="509" t="b">
        <v>0</v>
      </c>
      <c r="H214" s="510"/>
      <c r="I214" s="510"/>
      <c r="J214" s="511"/>
    </row>
    <row r="215" spans="3:12" ht="43.5" customHeight="1">
      <c r="C215" s="163" t="s">
        <v>20</v>
      </c>
      <c r="D215" s="642" t="s">
        <v>2780</v>
      </c>
      <c r="E215" s="642"/>
      <c r="F215" s="642"/>
      <c r="G215" s="642" t="s">
        <v>4463</v>
      </c>
      <c r="H215" s="642"/>
      <c r="I215" s="642"/>
      <c r="J215" s="128" t="s">
        <v>2777</v>
      </c>
    </row>
    <row r="216" spans="3:12" ht="43.5">
      <c r="C216" s="447" t="s">
        <v>3827</v>
      </c>
      <c r="D216" s="643"/>
      <c r="E216" s="643"/>
      <c r="F216" s="643"/>
      <c r="G216" s="647"/>
      <c r="H216" s="647"/>
      <c r="I216" s="647"/>
      <c r="J216" s="166"/>
      <c r="K216" s="17" t="str">
        <f>IF(AND(G214=TRUE,D216&lt;&gt;"",G216&lt;&gt;"",J216&lt;&gt;""),"OK",IF(AND(G214=TRUE,OR(D216="",G216="",J216="")),"MISSING VALUE",""))</f>
        <v/>
      </c>
    </row>
    <row r="217" spans="3:12" ht="15">
      <c r="C217" s="258">
        <v>2</v>
      </c>
      <c r="D217" s="644"/>
      <c r="E217" s="644"/>
      <c r="F217" s="644"/>
      <c r="G217" s="647"/>
      <c r="H217" s="647"/>
      <c r="I217" s="647"/>
      <c r="J217" s="166"/>
      <c r="K217" s="17" t="str">
        <f>IF(AND(D217&lt;&gt;"",G217&lt;&gt;"",J217&lt;&gt;""),"OK",IF(AND(D217&lt;&gt;"",G217&lt;&gt;"",J217=""),"MISSING VALUE",IF(AND(D217&lt;&gt;"",G217="",J217=""),"MISSING VALUE",IF(AND(D217&lt;&gt;"",G217="",J217=""),"MISSING VALUE",IF(AND(D217="",G217="",J217=""),"","MISSING VALUE")))))</f>
        <v/>
      </c>
    </row>
    <row r="218" spans="3:12" ht="15">
      <c r="C218" s="258">
        <v>3</v>
      </c>
      <c r="D218" s="644"/>
      <c r="E218" s="644"/>
      <c r="F218" s="644"/>
      <c r="G218" s="647"/>
      <c r="H218" s="647"/>
      <c r="I218" s="647"/>
      <c r="J218" s="166"/>
      <c r="K218" s="17" t="str">
        <f t="shared" ref="K218:K230" si="7">IF(AND(D218&lt;&gt;"",G218&lt;&gt;"",J218&lt;&gt;""),"OK",IF(AND(D218&lt;&gt;"",G218&lt;&gt;"",J218=""),"MISSING VALUE",IF(AND(D218&lt;&gt;"",G218="",J218=""),"MISSING VALUE",IF(AND(D218&lt;&gt;"",G218="",J218=""),"MISSING VALUE",IF(AND(D218="",G218="",J218=""),"","MISSING VALUE")))))</f>
        <v/>
      </c>
    </row>
    <row r="219" spans="3:12" ht="15" hidden="1" outlineLevel="1">
      <c r="C219" s="258">
        <v>4</v>
      </c>
      <c r="D219" s="644"/>
      <c r="E219" s="644"/>
      <c r="F219" s="644"/>
      <c r="G219" s="647"/>
      <c r="H219" s="647"/>
      <c r="I219" s="647"/>
      <c r="J219" s="166"/>
      <c r="K219" s="17" t="str">
        <f t="shared" si="7"/>
        <v/>
      </c>
    </row>
    <row r="220" spans="3:12" ht="15" hidden="1" outlineLevel="1">
      <c r="C220" s="258">
        <v>5</v>
      </c>
      <c r="D220" s="644"/>
      <c r="E220" s="644"/>
      <c r="F220" s="644"/>
      <c r="G220" s="647"/>
      <c r="H220" s="647"/>
      <c r="I220" s="647"/>
      <c r="J220" s="166"/>
      <c r="K220" s="17" t="str">
        <f t="shared" si="7"/>
        <v/>
      </c>
    </row>
    <row r="221" spans="3:12" ht="15" hidden="1" outlineLevel="1">
      <c r="C221" s="258">
        <v>6</v>
      </c>
      <c r="D221" s="643"/>
      <c r="E221" s="643"/>
      <c r="F221" s="643"/>
      <c r="G221" s="647"/>
      <c r="H221" s="647"/>
      <c r="I221" s="647"/>
      <c r="J221" s="166"/>
      <c r="K221" s="17" t="str">
        <f t="shared" si="7"/>
        <v/>
      </c>
    </row>
    <row r="222" spans="3:12" ht="15" hidden="1" outlineLevel="1">
      <c r="C222" s="258">
        <v>7</v>
      </c>
      <c r="D222" s="643"/>
      <c r="E222" s="643"/>
      <c r="F222" s="643"/>
      <c r="G222" s="647"/>
      <c r="H222" s="647"/>
      <c r="I222" s="647"/>
      <c r="J222" s="166"/>
      <c r="K222" s="17" t="str">
        <f t="shared" si="7"/>
        <v/>
      </c>
    </row>
    <row r="223" spans="3:12" ht="15" hidden="1" outlineLevel="1">
      <c r="C223" s="258">
        <v>8</v>
      </c>
      <c r="D223" s="643"/>
      <c r="E223" s="643"/>
      <c r="F223" s="643"/>
      <c r="G223" s="647"/>
      <c r="H223" s="647"/>
      <c r="I223" s="647"/>
      <c r="J223" s="166"/>
      <c r="K223" s="17" t="str">
        <f t="shared" si="7"/>
        <v/>
      </c>
    </row>
    <row r="224" spans="3:12" ht="15" hidden="1" outlineLevel="1">
      <c r="C224" s="258">
        <v>9</v>
      </c>
      <c r="D224" s="643"/>
      <c r="E224" s="643"/>
      <c r="F224" s="643"/>
      <c r="G224" s="647"/>
      <c r="H224" s="647"/>
      <c r="I224" s="647"/>
      <c r="J224" s="166"/>
      <c r="K224" s="17" t="str">
        <f t="shared" si="7"/>
        <v/>
      </c>
    </row>
    <row r="225" spans="1:12" ht="15" hidden="1" outlineLevel="1">
      <c r="C225" s="258">
        <v>10</v>
      </c>
      <c r="D225" s="643"/>
      <c r="E225" s="643"/>
      <c r="F225" s="643"/>
      <c r="G225" s="647"/>
      <c r="H225" s="647"/>
      <c r="I225" s="647"/>
      <c r="J225" s="166"/>
      <c r="K225" s="17" t="str">
        <f t="shared" si="7"/>
        <v/>
      </c>
    </row>
    <row r="226" spans="1:12" ht="15" hidden="1" outlineLevel="1">
      <c r="C226" s="258">
        <v>11</v>
      </c>
      <c r="D226" s="614"/>
      <c r="E226" s="615"/>
      <c r="F226" s="616"/>
      <c r="G226" s="617"/>
      <c r="H226" s="618"/>
      <c r="I226" s="619"/>
      <c r="J226" s="166"/>
      <c r="K226" s="17" t="str">
        <f t="shared" si="7"/>
        <v/>
      </c>
    </row>
    <row r="227" spans="1:12" ht="15" hidden="1" outlineLevel="1">
      <c r="C227" s="258">
        <v>12</v>
      </c>
      <c r="D227" s="614"/>
      <c r="E227" s="615"/>
      <c r="F227" s="616"/>
      <c r="G227" s="617"/>
      <c r="H227" s="618"/>
      <c r="I227" s="619"/>
      <c r="J227" s="166"/>
      <c r="K227" s="17" t="str">
        <f t="shared" si="7"/>
        <v/>
      </c>
    </row>
    <row r="228" spans="1:12" ht="15" hidden="1" outlineLevel="1">
      <c r="C228" s="258">
        <v>13</v>
      </c>
      <c r="D228" s="614"/>
      <c r="E228" s="615"/>
      <c r="F228" s="616"/>
      <c r="G228" s="620"/>
      <c r="H228" s="621"/>
      <c r="I228" s="622"/>
      <c r="J228" s="166"/>
      <c r="K228" s="17" t="str">
        <f t="shared" si="7"/>
        <v/>
      </c>
    </row>
    <row r="229" spans="1:12" ht="15" hidden="1" outlineLevel="1">
      <c r="C229" s="258">
        <v>14</v>
      </c>
      <c r="D229" s="614"/>
      <c r="E229" s="615"/>
      <c r="F229" s="616"/>
      <c r="G229" s="617"/>
      <c r="H229" s="618"/>
      <c r="I229" s="619"/>
      <c r="J229" s="166"/>
      <c r="K229" s="17" t="str">
        <f t="shared" si="7"/>
        <v/>
      </c>
    </row>
    <row r="230" spans="1:12" ht="15" hidden="1" outlineLevel="1">
      <c r="C230" s="258">
        <v>15</v>
      </c>
      <c r="D230" s="614"/>
      <c r="E230" s="615"/>
      <c r="F230" s="616"/>
      <c r="G230" s="617"/>
      <c r="H230" s="618"/>
      <c r="I230" s="619"/>
      <c r="J230" s="166"/>
      <c r="K230" s="17" t="str">
        <f t="shared" si="7"/>
        <v/>
      </c>
    </row>
    <row r="231" spans="1:12" collapsed="1">
      <c r="C231" s="791" t="s">
        <v>2784</v>
      </c>
      <c r="D231" s="792"/>
      <c r="E231" s="792"/>
      <c r="F231" s="792"/>
      <c r="G231" s="625" t="str">
        <f>IF(AND(G216="",G217="",J216="",J217="",G218="",J218=""),"-",(SUMIF($J$216:$J$225,"kilograms (kg)",$G$216:$G$225))+((SUMIF($J$216:$J$225,"metric tonnes (t)",$G$216:$G$225))*1000))</f>
        <v>-</v>
      </c>
      <c r="H231" s="625"/>
      <c r="I231" s="625"/>
      <c r="J231" s="164" t="s">
        <v>2778</v>
      </c>
    </row>
    <row r="232" spans="1:12" ht="15.75" thickBot="1">
      <c r="C232" s="789" t="s">
        <v>3638</v>
      </c>
      <c r="D232" s="790"/>
      <c r="E232" s="790"/>
      <c r="F232" s="790"/>
      <c r="G232" s="623" t="str">
        <f>IF(AND(G216="",G217="",J216="",J217="",G218="",J218=""),"-",SUMIF(J216:J225, "cubic meters (m3)", G216:G225))</f>
        <v>-</v>
      </c>
      <c r="H232" s="623"/>
      <c r="I232" s="623"/>
      <c r="J232" s="162" t="s">
        <v>2783</v>
      </c>
      <c r="K232" s="17"/>
    </row>
    <row r="233" spans="1:12" ht="15" thickBot="1">
      <c r="D233" s="12"/>
      <c r="E233" s="12"/>
      <c r="F233" s="12"/>
      <c r="G233" s="12"/>
      <c r="H233" s="12"/>
      <c r="I233" s="12"/>
      <c r="J233" s="12"/>
    </row>
    <row r="234" spans="1:12" ht="15">
      <c r="C234" s="780" t="str">
        <f xml:space="preserve"> "C4 – Climate risks " &amp; template_reporting_period_display &amp; " [If applicable]"</f>
        <v>C4 – Climate risks from 2024-01-01 to 2024-12-31 [If applicable]</v>
      </c>
      <c r="D234" s="781"/>
      <c r="E234" s="781"/>
      <c r="F234" s="781"/>
      <c r="G234" s="781"/>
      <c r="H234" s="781"/>
      <c r="I234" s="781"/>
      <c r="J234" s="781"/>
      <c r="K234" s="782"/>
    </row>
    <row r="235" spans="1:12" ht="39.6" customHeight="1">
      <c r="C235" s="507" t="s">
        <v>3828</v>
      </c>
      <c r="D235" s="680"/>
      <c r="E235" s="786"/>
      <c r="F235" s="787"/>
      <c r="G235" s="787"/>
      <c r="H235" s="787"/>
      <c r="I235" s="787"/>
      <c r="J235" s="787"/>
      <c r="K235" s="788"/>
    </row>
    <row r="236" spans="1:12" ht="15">
      <c r="A236" s="293" t="s">
        <v>4601</v>
      </c>
      <c r="B236" s="293" t="s">
        <v>4605</v>
      </c>
      <c r="C236" s="495" t="s">
        <v>4318</v>
      </c>
      <c r="D236" s="495"/>
      <c r="E236" s="486"/>
      <c r="F236" s="487"/>
      <c r="G236" s="487"/>
      <c r="H236" s="487"/>
      <c r="I236" s="487"/>
      <c r="J236" s="487"/>
      <c r="K236" s="488"/>
      <c r="L236" s="16" t="str">
        <f>IF(AND($E$235=TRUE,E236&lt;&gt;""),"OK",IF(AND($E$235=TRUE,G236=""),"MISSING VALUE",""))</f>
        <v/>
      </c>
    </row>
    <row r="237" spans="1:12" ht="15">
      <c r="A237" s="293" t="s">
        <v>4602</v>
      </c>
      <c r="B237" s="293" t="s">
        <v>4605</v>
      </c>
      <c r="C237" s="495" t="s">
        <v>29</v>
      </c>
      <c r="D237" s="495"/>
      <c r="E237" s="486"/>
      <c r="F237" s="487"/>
      <c r="G237" s="487"/>
      <c r="H237" s="487"/>
      <c r="I237" s="487"/>
      <c r="J237" s="487"/>
      <c r="K237" s="488"/>
      <c r="L237" s="16" t="str">
        <f t="shared" ref="L237:L238" si="8">IF(AND($E$235=TRUE,E237&lt;&gt;""),"OK",IF(AND($E$235=TRUE,G237=""),"MISSING VALUE",""))</f>
        <v/>
      </c>
    </row>
    <row r="238" spans="1:12" ht="15">
      <c r="A238" s="293" t="s">
        <v>4603</v>
      </c>
      <c r="B238" s="293" t="s">
        <v>4605</v>
      </c>
      <c r="C238" s="495" t="s">
        <v>30</v>
      </c>
      <c r="D238" s="495"/>
      <c r="E238" s="486"/>
      <c r="F238" s="487"/>
      <c r="G238" s="487"/>
      <c r="H238" s="487"/>
      <c r="I238" s="487"/>
      <c r="J238" s="487"/>
      <c r="K238" s="488"/>
      <c r="L238" s="16" t="str">
        <f t="shared" si="8"/>
        <v/>
      </c>
    </row>
    <row r="239" spans="1:12" ht="27" customHeight="1">
      <c r="A239" s="293" t="s">
        <v>4604</v>
      </c>
      <c r="B239" s="293" t="s">
        <v>4605</v>
      </c>
      <c r="C239" s="495" t="s">
        <v>4406</v>
      </c>
      <c r="D239" s="495"/>
      <c r="E239" s="783"/>
      <c r="F239" s="784"/>
      <c r="G239" s="784"/>
      <c r="H239" s="784"/>
      <c r="I239" s="784"/>
      <c r="J239" s="784"/>
      <c r="K239" s="785"/>
      <c r="L239" s="16" t="str">
        <f>IF(AND($E$235=TRUE,E239&lt;&gt;""),"OK",IF(AND($E$235=TRUE,G239=""),"MISSING VALUE",""))</f>
        <v/>
      </c>
    </row>
    <row r="240" spans="1:12" ht="29.45" customHeight="1" thickBot="1">
      <c r="A240" s="293">
        <v>58</v>
      </c>
      <c r="B240" s="293" t="s">
        <v>4605</v>
      </c>
      <c r="C240" s="484" t="s">
        <v>3835</v>
      </c>
      <c r="D240" s="484"/>
      <c r="E240" s="489"/>
      <c r="F240" s="490"/>
      <c r="G240" s="490"/>
      <c r="H240" s="490"/>
      <c r="I240" s="490"/>
      <c r="J240" s="490"/>
      <c r="K240" s="491"/>
      <c r="L240" s="16" t="str">
        <f>IF(AND($E$235=TRUE,E240&lt;&gt;""),"OK","")</f>
        <v/>
      </c>
    </row>
    <row r="241" spans="3:13" ht="15" thickBot="1"/>
    <row r="242" spans="3:13" ht="15">
      <c r="C242" s="578" t="str">
        <f xml:space="preserve"> "Disclosure of any other environmental and/or entity specific enviromental disclosures " &amp; template_reporting_period_display &amp; " [May (optional)] "</f>
        <v xml:space="preserve">Disclosure of any other environmental and/or entity specific enviromental disclosures from 2024-01-01 to 2024-12-31 [May (optional)] </v>
      </c>
      <c r="D242" s="579"/>
      <c r="E242" s="579"/>
      <c r="F242" s="579"/>
      <c r="G242" s="579"/>
      <c r="H242" s="579"/>
      <c r="I242" s="579"/>
      <c r="J242" s="579"/>
      <c r="K242" s="579"/>
      <c r="L242" s="580"/>
    </row>
    <row r="243" spans="3:13">
      <c r="C243" s="515">
        <v>10</v>
      </c>
      <c r="D243" s="516"/>
      <c r="E243" s="516"/>
      <c r="F243" s="516"/>
      <c r="G243" s="516"/>
      <c r="H243" s="516"/>
      <c r="I243" s="516"/>
      <c r="J243" s="516"/>
      <c r="K243" s="516"/>
      <c r="L243" s="517"/>
      <c r="M243" s="8"/>
    </row>
    <row r="244" spans="3:13" ht="15.75" thickBot="1">
      <c r="C244" s="572"/>
      <c r="D244" s="573"/>
      <c r="E244" s="573"/>
      <c r="F244" s="573"/>
      <c r="G244" s="573"/>
      <c r="H244" s="573"/>
      <c r="I244" s="573"/>
      <c r="J244" s="573"/>
      <c r="K244" s="573"/>
      <c r="L244" s="573"/>
      <c r="M244" s="125" t="str">
        <f>IF(C244&lt;&gt;"", "OK", "")</f>
        <v/>
      </c>
    </row>
  </sheetData>
  <sheetProtection algorithmName="SHA-512" hashValue="eYfRZGW4ImG9083kooVoMNMmM0Vi2VA/U8ij/yiED38Cd7dazNCl0elZP1Lkd5Kl17Yvzydum7v+YKkfHDa8Ug==" saltValue="0e55ycgX1yJuW6ujISlqSQ==" spinCount="100000" sheet="1" formatColumns="0" formatRows="0" insertRows="0"/>
  <mergeCells count="405">
    <mergeCell ref="L59:L61"/>
    <mergeCell ref="A59:A62"/>
    <mergeCell ref="B59:B62"/>
    <mergeCell ref="C59:C62"/>
    <mergeCell ref="D59:H59"/>
    <mergeCell ref="D60:H60"/>
    <mergeCell ref="D61:H61"/>
    <mergeCell ref="I59:K59"/>
    <mergeCell ref="I60:K60"/>
    <mergeCell ref="I61:K61"/>
    <mergeCell ref="L12:L14"/>
    <mergeCell ref="G19:I19"/>
    <mergeCell ref="C10:F10"/>
    <mergeCell ref="G10:K10"/>
    <mergeCell ref="D131:F131"/>
    <mergeCell ref="D132:F132"/>
    <mergeCell ref="D138:F138"/>
    <mergeCell ref="G80:I80"/>
    <mergeCell ref="G81:I81"/>
    <mergeCell ref="G108:I108"/>
    <mergeCell ref="G82:I82"/>
    <mergeCell ref="G83:I83"/>
    <mergeCell ref="G84:I84"/>
    <mergeCell ref="G95:I95"/>
    <mergeCell ref="G96:I96"/>
    <mergeCell ref="D80:F80"/>
    <mergeCell ref="D81:F81"/>
    <mergeCell ref="D82:F82"/>
    <mergeCell ref="D97:F97"/>
    <mergeCell ref="D30:F30"/>
    <mergeCell ref="D31:F31"/>
    <mergeCell ref="D32:F32"/>
    <mergeCell ref="D33:F33"/>
    <mergeCell ref="D34:F34"/>
    <mergeCell ref="C2:K2"/>
    <mergeCell ref="C4:K4"/>
    <mergeCell ref="C3:K3"/>
    <mergeCell ref="G66:K66"/>
    <mergeCell ref="C51:K51"/>
    <mergeCell ref="C65:K65"/>
    <mergeCell ref="C64:K64"/>
    <mergeCell ref="C55:K55"/>
    <mergeCell ref="C16:F16"/>
    <mergeCell ref="C17:F17"/>
    <mergeCell ref="D18:F18"/>
    <mergeCell ref="D22:F22"/>
    <mergeCell ref="G16:K16"/>
    <mergeCell ref="C5:F5"/>
    <mergeCell ref="C12:F12"/>
    <mergeCell ref="C13:F13"/>
    <mergeCell ref="G12:I12"/>
    <mergeCell ref="G13:I13"/>
    <mergeCell ref="G14:I14"/>
    <mergeCell ref="G11:I11"/>
    <mergeCell ref="G17:I17"/>
    <mergeCell ref="G18:I18"/>
    <mergeCell ref="G5:K5"/>
    <mergeCell ref="C11:F11"/>
    <mergeCell ref="C166:D166"/>
    <mergeCell ref="C172:D172"/>
    <mergeCell ref="C174:D174"/>
    <mergeCell ref="E176:F176"/>
    <mergeCell ref="C185:L185"/>
    <mergeCell ref="E169:F169"/>
    <mergeCell ref="D88:F88"/>
    <mergeCell ref="D89:F89"/>
    <mergeCell ref="D90:F90"/>
    <mergeCell ref="D99:F99"/>
    <mergeCell ref="D118:F118"/>
    <mergeCell ref="D117:F117"/>
    <mergeCell ref="D116:F116"/>
    <mergeCell ref="D115:F115"/>
    <mergeCell ref="D114:F114"/>
    <mergeCell ref="D182:G182"/>
    <mergeCell ref="D183:G183"/>
    <mergeCell ref="D113:F113"/>
    <mergeCell ref="D112:F112"/>
    <mergeCell ref="D111:F111"/>
    <mergeCell ref="D130:F130"/>
    <mergeCell ref="G153:I153"/>
    <mergeCell ref="D153:F153"/>
    <mergeCell ref="C156:F156"/>
    <mergeCell ref="C14:F14"/>
    <mergeCell ref="C19:F19"/>
    <mergeCell ref="C29:F29"/>
    <mergeCell ref="D20:F20"/>
    <mergeCell ref="D21:F21"/>
    <mergeCell ref="C68:F68"/>
    <mergeCell ref="C69:F69"/>
    <mergeCell ref="D36:F36"/>
    <mergeCell ref="D37:F37"/>
    <mergeCell ref="D38:F38"/>
    <mergeCell ref="D39:F39"/>
    <mergeCell ref="D40:F40"/>
    <mergeCell ref="D41:F41"/>
    <mergeCell ref="D42:F42"/>
    <mergeCell ref="D43:F43"/>
    <mergeCell ref="D44:F44"/>
    <mergeCell ref="D24:F24"/>
    <mergeCell ref="D28:F28"/>
    <mergeCell ref="D45:F45"/>
    <mergeCell ref="D25:F25"/>
    <mergeCell ref="D26:F26"/>
    <mergeCell ref="C27:F27"/>
    <mergeCell ref="D23:F23"/>
    <mergeCell ref="D35:F35"/>
    <mergeCell ref="D229:F229"/>
    <mergeCell ref="G29:K29"/>
    <mergeCell ref="E170:F170"/>
    <mergeCell ref="C179:G179"/>
    <mergeCell ref="C180:G180"/>
    <mergeCell ref="C181:G181"/>
    <mergeCell ref="C167:D167"/>
    <mergeCell ref="C168:D168"/>
    <mergeCell ref="C173:D173"/>
    <mergeCell ref="D91:F91"/>
    <mergeCell ref="D92:F92"/>
    <mergeCell ref="D128:F128"/>
    <mergeCell ref="D129:F129"/>
    <mergeCell ref="D106:F106"/>
    <mergeCell ref="D107:F107"/>
    <mergeCell ref="D108:F108"/>
    <mergeCell ref="D109:F109"/>
    <mergeCell ref="D93:F93"/>
    <mergeCell ref="D101:F101"/>
    <mergeCell ref="D98:F98"/>
    <mergeCell ref="D83:F83"/>
    <mergeCell ref="D84:F84"/>
    <mergeCell ref="D85:F85"/>
    <mergeCell ref="D86:F86"/>
    <mergeCell ref="D197:F197"/>
    <mergeCell ref="D200:F200"/>
    <mergeCell ref="C243:L243"/>
    <mergeCell ref="G232:I232"/>
    <mergeCell ref="G231:I231"/>
    <mergeCell ref="G215:I215"/>
    <mergeCell ref="C232:F232"/>
    <mergeCell ref="D225:F225"/>
    <mergeCell ref="D224:F224"/>
    <mergeCell ref="D223:F223"/>
    <mergeCell ref="D222:F222"/>
    <mergeCell ref="D221:F221"/>
    <mergeCell ref="C231:F231"/>
    <mergeCell ref="G216:I216"/>
    <mergeCell ref="G217:I217"/>
    <mergeCell ref="G218:I218"/>
    <mergeCell ref="G219:I219"/>
    <mergeCell ref="G220:I220"/>
    <mergeCell ref="G221:I221"/>
    <mergeCell ref="G222:I222"/>
    <mergeCell ref="G223:I223"/>
    <mergeCell ref="G224:I224"/>
    <mergeCell ref="G225:I225"/>
    <mergeCell ref="D219:F219"/>
    <mergeCell ref="C244:L244"/>
    <mergeCell ref="C234:K234"/>
    <mergeCell ref="C242:L242"/>
    <mergeCell ref="E236:K236"/>
    <mergeCell ref="E237:K237"/>
    <mergeCell ref="E239:K239"/>
    <mergeCell ref="E238:K238"/>
    <mergeCell ref="E240:K240"/>
    <mergeCell ref="C239:D239"/>
    <mergeCell ref="C240:D240"/>
    <mergeCell ref="C236:D236"/>
    <mergeCell ref="C237:D237"/>
    <mergeCell ref="C238:D238"/>
    <mergeCell ref="C235:D235"/>
    <mergeCell ref="E235:K235"/>
    <mergeCell ref="C158:F158"/>
    <mergeCell ref="C159:F159"/>
    <mergeCell ref="G147:I147"/>
    <mergeCell ref="G148:I148"/>
    <mergeCell ref="G149:I149"/>
    <mergeCell ref="D136:F136"/>
    <mergeCell ref="D137:F137"/>
    <mergeCell ref="D110:F110"/>
    <mergeCell ref="D119:F119"/>
    <mergeCell ref="C121:K121"/>
    <mergeCell ref="C123:K123"/>
    <mergeCell ref="G127:I127"/>
    <mergeCell ref="G128:I128"/>
    <mergeCell ref="G129:I129"/>
    <mergeCell ref="G130:I130"/>
    <mergeCell ref="G131:I131"/>
    <mergeCell ref="G133:I133"/>
    <mergeCell ref="G134:I134"/>
    <mergeCell ref="G135:I135"/>
    <mergeCell ref="G136:I136"/>
    <mergeCell ref="G118:I118"/>
    <mergeCell ref="C155:F155"/>
    <mergeCell ref="D143:F143"/>
    <mergeCell ref="D146:F146"/>
    <mergeCell ref="D147:F147"/>
    <mergeCell ref="C72:K72"/>
    <mergeCell ref="C73:K73"/>
    <mergeCell ref="D47:F47"/>
    <mergeCell ref="G47:I47"/>
    <mergeCell ref="C67:F67"/>
    <mergeCell ref="G67:K67"/>
    <mergeCell ref="C77:K77"/>
    <mergeCell ref="C78:K78"/>
    <mergeCell ref="C75:F75"/>
    <mergeCell ref="D62:K62"/>
    <mergeCell ref="C66:F66"/>
    <mergeCell ref="D102:F102"/>
    <mergeCell ref="D103:F103"/>
    <mergeCell ref="D104:F104"/>
    <mergeCell ref="D105:F105"/>
    <mergeCell ref="D133:F133"/>
    <mergeCell ref="D134:F134"/>
    <mergeCell ref="D87:F87"/>
    <mergeCell ref="D56:K56"/>
    <mergeCell ref="G74:K74"/>
    <mergeCell ref="D100:F100"/>
    <mergeCell ref="G32:I32"/>
    <mergeCell ref="G33:I33"/>
    <mergeCell ref="G34:I34"/>
    <mergeCell ref="G24:I24"/>
    <mergeCell ref="D94:F94"/>
    <mergeCell ref="D95:F95"/>
    <mergeCell ref="G20:I20"/>
    <mergeCell ref="G90:I90"/>
    <mergeCell ref="G91:I91"/>
    <mergeCell ref="G92:I92"/>
    <mergeCell ref="G93:I93"/>
    <mergeCell ref="G94:I94"/>
    <mergeCell ref="G75:K75"/>
    <mergeCell ref="D79:F79"/>
    <mergeCell ref="G79:I79"/>
    <mergeCell ref="D46:F46"/>
    <mergeCell ref="D57:K57"/>
    <mergeCell ref="D58:K58"/>
    <mergeCell ref="C52:K52"/>
    <mergeCell ref="C50:K50"/>
    <mergeCell ref="C49:K49"/>
    <mergeCell ref="C71:K71"/>
    <mergeCell ref="G68:K68"/>
    <mergeCell ref="C76:F76"/>
    <mergeCell ref="G21:I21"/>
    <mergeCell ref="G22:I22"/>
    <mergeCell ref="G46:I46"/>
    <mergeCell ref="G97:I97"/>
    <mergeCell ref="G98:I98"/>
    <mergeCell ref="G85:I85"/>
    <mergeCell ref="G86:I86"/>
    <mergeCell ref="G87:I87"/>
    <mergeCell ref="G88:I88"/>
    <mergeCell ref="G89:I89"/>
    <mergeCell ref="G25:I25"/>
    <mergeCell ref="G26:I26"/>
    <mergeCell ref="G27:J27"/>
    <mergeCell ref="G23:I23"/>
    <mergeCell ref="G28:I28"/>
    <mergeCell ref="G45:I45"/>
    <mergeCell ref="G69:K69"/>
    <mergeCell ref="G76:K76"/>
    <mergeCell ref="G35:I35"/>
    <mergeCell ref="G36:I36"/>
    <mergeCell ref="G37:I37"/>
    <mergeCell ref="G38:I38"/>
    <mergeCell ref="G30:I30"/>
    <mergeCell ref="G31:I31"/>
    <mergeCell ref="J204:L204"/>
    <mergeCell ref="J205:L205"/>
    <mergeCell ref="J206:L206"/>
    <mergeCell ref="J207:L207"/>
    <mergeCell ref="C204:C209"/>
    <mergeCell ref="C7:K7"/>
    <mergeCell ref="C8:K8"/>
    <mergeCell ref="C9:K9"/>
    <mergeCell ref="D203:F203"/>
    <mergeCell ref="G197:I197"/>
    <mergeCell ref="G198:I198"/>
    <mergeCell ref="G199:I199"/>
    <mergeCell ref="G200:I200"/>
    <mergeCell ref="D150:F150"/>
    <mergeCell ref="D151:F151"/>
    <mergeCell ref="D152:F152"/>
    <mergeCell ref="D190:F190"/>
    <mergeCell ref="D191:F191"/>
    <mergeCell ref="G203:I203"/>
    <mergeCell ref="D188:F188"/>
    <mergeCell ref="D189:F189"/>
    <mergeCell ref="D192:F192"/>
    <mergeCell ref="G188:I188"/>
    <mergeCell ref="G189:I189"/>
    <mergeCell ref="D207:F207"/>
    <mergeCell ref="D208:F208"/>
    <mergeCell ref="D195:F195"/>
    <mergeCell ref="D193:F193"/>
    <mergeCell ref="G190:I190"/>
    <mergeCell ref="G101:I101"/>
    <mergeCell ref="G102:I102"/>
    <mergeCell ref="G103:I103"/>
    <mergeCell ref="D127:F127"/>
    <mergeCell ref="G119:I119"/>
    <mergeCell ref="G110:I110"/>
    <mergeCell ref="G111:I111"/>
    <mergeCell ref="G112:I112"/>
    <mergeCell ref="G113:I113"/>
    <mergeCell ref="G114:I114"/>
    <mergeCell ref="G106:I106"/>
    <mergeCell ref="G107:I107"/>
    <mergeCell ref="G207:I207"/>
    <mergeCell ref="G191:I191"/>
    <mergeCell ref="G192:I192"/>
    <mergeCell ref="G193:I193"/>
    <mergeCell ref="C124:F124"/>
    <mergeCell ref="G124:K124"/>
    <mergeCell ref="G115:I115"/>
    <mergeCell ref="G39:I39"/>
    <mergeCell ref="G40:I40"/>
    <mergeCell ref="G41:I41"/>
    <mergeCell ref="G42:I42"/>
    <mergeCell ref="G43:I43"/>
    <mergeCell ref="G44:I44"/>
    <mergeCell ref="L30:L44"/>
    <mergeCell ref="D205:F205"/>
    <mergeCell ref="D206:F206"/>
    <mergeCell ref="C74:F74"/>
    <mergeCell ref="G116:I116"/>
    <mergeCell ref="G105:I105"/>
    <mergeCell ref="G132:I132"/>
    <mergeCell ref="C126:K126"/>
    <mergeCell ref="C122:K122"/>
    <mergeCell ref="C125:K125"/>
    <mergeCell ref="H182:I182"/>
    <mergeCell ref="C186:L186"/>
    <mergeCell ref="C187:L187"/>
    <mergeCell ref="G201:I201"/>
    <mergeCell ref="G202:I202"/>
    <mergeCell ref="D198:F198"/>
    <mergeCell ref="D199:F199"/>
    <mergeCell ref="D202:F202"/>
    <mergeCell ref="D204:F204"/>
    <mergeCell ref="G100:I100"/>
    <mergeCell ref="D96:F96"/>
    <mergeCell ref="D135:F135"/>
    <mergeCell ref="D162:F162"/>
    <mergeCell ref="D163:F163"/>
    <mergeCell ref="D164:F164"/>
    <mergeCell ref="D148:F148"/>
    <mergeCell ref="D149:F149"/>
    <mergeCell ref="D160:F160"/>
    <mergeCell ref="D139:F139"/>
    <mergeCell ref="D140:F140"/>
    <mergeCell ref="D141:F141"/>
    <mergeCell ref="D142:F142"/>
    <mergeCell ref="D161:F161"/>
    <mergeCell ref="C157:F157"/>
    <mergeCell ref="G204:I204"/>
    <mergeCell ref="G152:I152"/>
    <mergeCell ref="D196:F196"/>
    <mergeCell ref="D194:F194"/>
    <mergeCell ref="D201:F201"/>
    <mergeCell ref="H183:I183"/>
    <mergeCell ref="D144:F144"/>
    <mergeCell ref="D145:F145"/>
    <mergeCell ref="G205:I205"/>
    <mergeCell ref="G206:I206"/>
    <mergeCell ref="G109:I109"/>
    <mergeCell ref="G117:I117"/>
    <mergeCell ref="G150:I150"/>
    <mergeCell ref="G151:I151"/>
    <mergeCell ref="G99:I99"/>
    <mergeCell ref="G142:I142"/>
    <mergeCell ref="G137:I137"/>
    <mergeCell ref="G138:I138"/>
    <mergeCell ref="G139:I139"/>
    <mergeCell ref="G140:I140"/>
    <mergeCell ref="G141:I141"/>
    <mergeCell ref="G143:I143"/>
    <mergeCell ref="G144:I144"/>
    <mergeCell ref="G145:I145"/>
    <mergeCell ref="G146:I146"/>
    <mergeCell ref="G194:I194"/>
    <mergeCell ref="G195:I195"/>
    <mergeCell ref="G196:I196"/>
    <mergeCell ref="G104:I104"/>
    <mergeCell ref="G161:G164"/>
    <mergeCell ref="D230:F230"/>
    <mergeCell ref="G227:I227"/>
    <mergeCell ref="G229:I229"/>
    <mergeCell ref="G230:I230"/>
    <mergeCell ref="G228:I228"/>
    <mergeCell ref="J209:L209"/>
    <mergeCell ref="J208:L208"/>
    <mergeCell ref="G208:I208"/>
    <mergeCell ref="G209:I209"/>
    <mergeCell ref="D226:F226"/>
    <mergeCell ref="G226:I226"/>
    <mergeCell ref="D227:F227"/>
    <mergeCell ref="C213:J213"/>
    <mergeCell ref="C211:J211"/>
    <mergeCell ref="C212:J212"/>
    <mergeCell ref="C214:F214"/>
    <mergeCell ref="G214:J214"/>
    <mergeCell ref="D209:F209"/>
    <mergeCell ref="D215:F215"/>
    <mergeCell ref="D216:F216"/>
    <mergeCell ref="D217:F217"/>
    <mergeCell ref="D218:F218"/>
    <mergeCell ref="D220:F220"/>
    <mergeCell ref="D228:F228"/>
  </mergeCells>
  <phoneticPr fontId="3" type="noConversion"/>
  <conditionalFormatting sqref="C52:K52">
    <cfRule type="expression" dxfId="295" priority="163">
      <formula>$J$19=TRUE</formula>
    </cfRule>
  </conditionalFormatting>
  <conditionalFormatting sqref="C78:K78">
    <cfRule type="expression" dxfId="294" priority="148">
      <formula>$G$75=TRUE</formula>
    </cfRule>
    <cfRule type="expression" dxfId="293" priority="160">
      <formula>$G$74=TRUE</formula>
    </cfRule>
    <cfRule type="expression" dxfId="292" priority="170">
      <formula>$G$75=TRUE</formula>
    </cfRule>
  </conditionalFormatting>
  <conditionalFormatting sqref="C126:K126 G129:I152 J129:K153 G153">
    <cfRule type="expression" dxfId="291" priority="158">
      <formula>$G$124=TRUE</formula>
    </cfRule>
  </conditionalFormatting>
  <conditionalFormatting sqref="D58">
    <cfRule type="expression" dxfId="290" priority="184">
      <formula>AND($D$56=TRUE,$D$57="A transition plan has already been adopted")</formula>
    </cfRule>
  </conditionalFormatting>
  <conditionalFormatting sqref="D176">
    <cfRule type="expression" dxfId="289" priority="155">
      <formula>$D$175=TRUE</formula>
    </cfRule>
  </conditionalFormatting>
  <conditionalFormatting sqref="D30:F44">
    <cfRule type="expression" dxfId="288" priority="33">
      <formula>$G$29=TRUE</formula>
    </cfRule>
  </conditionalFormatting>
  <conditionalFormatting sqref="D45:F47">
    <cfRule type="expression" dxfId="287" priority="31">
      <formula>$G$29=FALSE</formula>
    </cfRule>
  </conditionalFormatting>
  <conditionalFormatting sqref="D80:F119">
    <cfRule type="expression" dxfId="286" priority="21">
      <formula>$G$74=TRUE</formula>
    </cfRule>
    <cfRule type="expression" dxfId="285" priority="22">
      <formula>$G$75=TRUE</formula>
    </cfRule>
  </conditionalFormatting>
  <conditionalFormatting sqref="D128:F128">
    <cfRule type="expression" dxfId="284" priority="27">
      <formula>$D$128="VALUE INCONSISTENCY"</formula>
    </cfRule>
  </conditionalFormatting>
  <conditionalFormatting sqref="D129:F153">
    <cfRule type="expression" dxfId="283" priority="82">
      <formula>$D129="VALUE INCONSISTENCY"</formula>
    </cfRule>
  </conditionalFormatting>
  <conditionalFormatting sqref="D183:G183">
    <cfRule type="expression" dxfId="282" priority="192">
      <formula>$D$182="YES"</formula>
    </cfRule>
  </conditionalFormatting>
  <conditionalFormatting sqref="D80:I80 G81:I82 D81:F119">
    <cfRule type="expression" dxfId="281" priority="19">
      <formula>$G$75=TRUE</formula>
    </cfRule>
  </conditionalFormatting>
  <conditionalFormatting sqref="D216:J225 J226:J228 D226:D230 G229:J229 G230 J230">
    <cfRule type="expression" dxfId="280" priority="10">
      <formula>$G$214=TRUE</formula>
    </cfRule>
  </conditionalFormatting>
  <conditionalFormatting sqref="D57:K57">
    <cfRule type="expression" dxfId="279" priority="5">
      <formula>$D$56=FALSE</formula>
    </cfRule>
  </conditionalFormatting>
  <conditionalFormatting sqref="D59:K62">
    <cfRule type="expression" dxfId="278" priority="6">
      <formula>$D$57=""</formula>
    </cfRule>
    <cfRule type="expression" dxfId="277" priority="7">
      <formula>$D$57="A transition plan has already been adopted"</formula>
    </cfRule>
  </conditionalFormatting>
  <conditionalFormatting sqref="E169:E170">
    <cfRule type="expression" dxfId="276" priority="222">
      <formula>$E169="OK"</formula>
    </cfRule>
    <cfRule type="expression" dxfId="275" priority="223">
      <formula>$E169="MISSING VALUE"</formula>
    </cfRule>
  </conditionalFormatting>
  <conditionalFormatting sqref="E176">
    <cfRule type="expression" dxfId="274" priority="198">
      <formula>$E$176="MISSING VALUE"</formula>
    </cfRule>
    <cfRule type="expression" dxfId="273" priority="199">
      <formula>$E$176="OK"</formula>
    </cfRule>
  </conditionalFormatting>
  <conditionalFormatting sqref="E236:K240">
    <cfRule type="expression" dxfId="272" priority="151">
      <formula>$E$235=TRUE</formula>
    </cfRule>
  </conditionalFormatting>
  <conditionalFormatting sqref="G76">
    <cfRule type="expression" dxfId="271" priority="175">
      <formula>$G$75=TRUE</formula>
    </cfRule>
  </conditionalFormatting>
  <conditionalFormatting sqref="G159:G161">
    <cfRule type="expression" dxfId="270" priority="25">
      <formula>$G159="VALUE INCONSISTENCY"</formula>
    </cfRule>
    <cfRule type="expression" dxfId="269" priority="145">
      <formula>$G159="MISSING VALUE"</formula>
    </cfRule>
    <cfRule type="expression" dxfId="268" priority="146">
      <formula>$G159="OK"</formula>
    </cfRule>
  </conditionalFormatting>
  <conditionalFormatting sqref="G226:G227">
    <cfRule type="expression" dxfId="267" priority="153">
      <formula>$G$214=TRUE</formula>
    </cfRule>
  </conditionalFormatting>
  <conditionalFormatting sqref="G80:I82">
    <cfRule type="expression" dxfId="266" priority="18">
      <formula>$G$74=TRUE</formula>
    </cfRule>
  </conditionalFormatting>
  <conditionalFormatting sqref="G228:I228">
    <cfRule type="expression" dxfId="265" priority="28">
      <formula>$G$214=TRUE</formula>
    </cfRule>
  </conditionalFormatting>
  <conditionalFormatting sqref="G21:J24">
    <cfRule type="expression" dxfId="264" priority="166">
      <formula>$J$19=TRUE</formula>
    </cfRule>
  </conditionalFormatting>
  <conditionalFormatting sqref="G30:J44">
    <cfRule type="expression" dxfId="263" priority="32">
      <formula>AND($G$29=TRUE,$J$19=TRUE)</formula>
    </cfRule>
  </conditionalFormatting>
  <conditionalFormatting sqref="G45:J47">
    <cfRule type="expression" dxfId="262" priority="30">
      <formula>OR($J$19=FALSE,$G$29=FALSE)</formula>
    </cfRule>
  </conditionalFormatting>
  <conditionalFormatting sqref="G80:J82">
    <cfRule type="expression" dxfId="261" priority="16">
      <formula>$G$75=TRUE</formula>
    </cfRule>
  </conditionalFormatting>
  <conditionalFormatting sqref="G10:K10">
    <cfRule type="expression" dxfId="260" priority="168">
      <formula>$D$105="YES"</formula>
    </cfRule>
  </conditionalFormatting>
  <conditionalFormatting sqref="G68:K69">
    <cfRule type="expression" dxfId="259" priority="95">
      <formula>$G$29=FALSE</formula>
    </cfRule>
  </conditionalFormatting>
  <conditionalFormatting sqref="G75:K75">
    <cfRule type="expression" dxfId="258" priority="161">
      <formula>$G$74=TRUE</formula>
    </cfRule>
  </conditionalFormatting>
  <conditionalFormatting sqref="G83:K119">
    <cfRule type="expression" dxfId="257" priority="159">
      <formula>$G$75=TRUE</formula>
    </cfRule>
    <cfRule type="expression" dxfId="256" priority="162">
      <formula>$G$74=TRUE</formula>
    </cfRule>
    <cfRule type="expression" dxfId="255" priority="174">
      <formula>$G$75=TRUE</formula>
    </cfRule>
  </conditionalFormatting>
  <conditionalFormatting sqref="G128:K128">
    <cfRule type="expression" dxfId="254" priority="157">
      <formula>$G$124=TRUE</formula>
    </cfRule>
  </conditionalFormatting>
  <conditionalFormatting sqref="H182">
    <cfRule type="expression" dxfId="253" priority="193">
      <formula>$H$182="OK"</formula>
    </cfRule>
    <cfRule type="expression" dxfId="252" priority="194">
      <formula>$H$182="MISSING VALUE"</formula>
    </cfRule>
  </conditionalFormatting>
  <conditionalFormatting sqref="H183">
    <cfRule type="expression" dxfId="251" priority="3">
      <formula>$H$183="VALUE INCONSISTENCY"</formula>
    </cfRule>
    <cfRule type="expression" dxfId="250" priority="190">
      <formula>$H$183="MISSING VALUE"</formula>
    </cfRule>
    <cfRule type="expression" dxfId="249" priority="191">
      <formula>$H$183="OK"</formula>
    </cfRule>
  </conditionalFormatting>
  <conditionalFormatting sqref="J80:J82">
    <cfRule type="expression" dxfId="248" priority="15">
      <formula>$G$74=TRUE</formula>
    </cfRule>
  </conditionalFormatting>
  <conditionalFormatting sqref="J80:K82">
    <cfRule type="expression" dxfId="247" priority="13">
      <formula>$G$75=TRUE</formula>
    </cfRule>
  </conditionalFormatting>
  <conditionalFormatting sqref="K30:K44">
    <cfRule type="expression" dxfId="246" priority="4">
      <formula>AND($G30&lt;&gt;"", $J30&lt;&gt;"")</formula>
    </cfRule>
  </conditionalFormatting>
  <conditionalFormatting sqref="K30:K47">
    <cfRule type="expression" dxfId="245" priority="29">
      <formula>OR($J$19=FALSE,$G$29=FALSE)</formula>
    </cfRule>
  </conditionalFormatting>
  <conditionalFormatting sqref="K80:K82">
    <cfRule type="expression" dxfId="244" priority="11">
      <formula>$G$75=TRUE</formula>
    </cfRule>
    <cfRule type="expression" dxfId="243" priority="12">
      <formula>$G$74=TRUE</formula>
    </cfRule>
  </conditionalFormatting>
  <conditionalFormatting sqref="K159:K160">
    <cfRule type="expression" dxfId="242" priority="233">
      <formula>$K$159="OK"</formula>
    </cfRule>
    <cfRule type="expression" dxfId="241" priority="239">
      <formula>$K$159="MISSING VALUE"</formula>
    </cfRule>
  </conditionalFormatting>
  <conditionalFormatting sqref="K161:K164 K166 K232">
    <cfRule type="expression" dxfId="240" priority="224">
      <formula>$K161="MISSING VALUE"</formula>
    </cfRule>
    <cfRule type="expression" dxfId="239" priority="225">
      <formula>$K161="OK"</formula>
    </cfRule>
  </conditionalFormatting>
  <conditionalFormatting sqref="K216:K230">
    <cfRule type="expression" dxfId="238" priority="237">
      <formula>$K216="MISSING VALUE"</formula>
    </cfRule>
    <cfRule type="expression" dxfId="237" priority="238">
      <formula>$K216="OK"</formula>
    </cfRule>
  </conditionalFormatting>
  <conditionalFormatting sqref="L5">
    <cfRule type="expression" dxfId="236" priority="195">
      <formula>$L$5= "OK"</formula>
    </cfRule>
    <cfRule type="expression" dxfId="235" priority="197">
      <formula>$L$5="MISSING VALUE"</formula>
    </cfRule>
  </conditionalFormatting>
  <conditionalFormatting sqref="L12">
    <cfRule type="expression" dxfId="234" priority="26">
      <formula>$L$12="VALUE INCONSISTENCY"</formula>
    </cfRule>
    <cfRule type="expression" dxfId="233" priority="150">
      <formula>$L$12="MISSING VALUE"</formula>
    </cfRule>
    <cfRule type="expression" dxfId="232" priority="220">
      <formula>$L12="OK"</formula>
    </cfRule>
  </conditionalFormatting>
  <conditionalFormatting sqref="L21">
    <cfRule type="expression" dxfId="231" priority="202">
      <formula>$L$21="MISSING VALUE"</formula>
    </cfRule>
    <cfRule type="expression" dxfId="230" priority="203">
      <formula>$L$21="OK"</formula>
    </cfRule>
  </conditionalFormatting>
  <conditionalFormatting sqref="L22">
    <cfRule type="expression" dxfId="229" priority="213">
      <formula>$L$22="OK"</formula>
    </cfRule>
  </conditionalFormatting>
  <conditionalFormatting sqref="L22:L24">
    <cfRule type="expression" dxfId="228" priority="207">
      <formula>$L22="MISSING VALUE"</formula>
    </cfRule>
  </conditionalFormatting>
  <conditionalFormatting sqref="L23:L24">
    <cfRule type="expression" dxfId="227" priority="208">
      <formula>$L23="OK"</formula>
    </cfRule>
  </conditionalFormatting>
  <conditionalFormatting sqref="L30:L44">
    <cfRule type="expression" dxfId="226" priority="34">
      <formula>$L$30="OK"</formula>
    </cfRule>
    <cfRule type="expression" dxfId="225" priority="35">
      <formula>$L$30="MISSING VALUE"</formula>
    </cfRule>
  </conditionalFormatting>
  <conditionalFormatting sqref="L45">
    <cfRule type="expression" dxfId="224" priority="385">
      <formula>$L$45="MISSING VALUE"</formula>
    </cfRule>
    <cfRule type="expression" dxfId="223" priority="386">
      <formula>$L$45="OK"</formula>
    </cfRule>
  </conditionalFormatting>
  <conditionalFormatting sqref="L52">
    <cfRule type="expression" dxfId="222" priority="149">
      <formula>$L$52="MISSING VALUE"</formula>
    </cfRule>
    <cfRule type="expression" dxfId="221" priority="236">
      <formula>$L$52="OK"</formula>
    </cfRule>
  </conditionalFormatting>
  <conditionalFormatting sqref="L56:L59 L62">
    <cfRule type="expression" dxfId="220" priority="178">
      <formula>$L56="ERROR"</formula>
    </cfRule>
    <cfRule type="expression" dxfId="219" priority="181">
      <formula>$L56="MISSING VALUE"</formula>
    </cfRule>
    <cfRule type="expression" dxfId="218" priority="182">
      <formula>$L56="OK"</formula>
    </cfRule>
  </conditionalFormatting>
  <conditionalFormatting sqref="L62">
    <cfRule type="expression" dxfId="217" priority="234">
      <formula>$L$62="OK"</formula>
    </cfRule>
  </conditionalFormatting>
  <conditionalFormatting sqref="L74:L75">
    <cfRule type="expression" dxfId="216" priority="172">
      <formula>$L74="VALUE INCONSISTENCY"</formula>
    </cfRule>
  </conditionalFormatting>
  <conditionalFormatting sqref="L74:L76">
    <cfRule type="expression" dxfId="215" priority="173">
      <formula>$L74="OK"</formula>
    </cfRule>
  </conditionalFormatting>
  <conditionalFormatting sqref="L76">
    <cfRule type="expression" dxfId="214" priority="9">
      <formula>$L$76="INVALID URL"</formula>
    </cfRule>
    <cfRule type="expression" dxfId="213" priority="171">
      <formula>$L$76="MISSING VALUE"</formula>
    </cfRule>
  </conditionalFormatting>
  <conditionalFormatting sqref="L78">
    <cfRule type="expression" dxfId="212" priority="8">
      <formula>$L$78="VALUE INCONSISTENCY"</formula>
    </cfRule>
    <cfRule type="expression" dxfId="211" priority="179">
      <formula>$L$78="OK"</formula>
    </cfRule>
    <cfRule type="expression" dxfId="210" priority="180">
      <formula>$L$78="MISSING VALUE"</formula>
    </cfRule>
  </conditionalFormatting>
  <conditionalFormatting sqref="L80:L119">
    <cfRule type="expression" dxfId="209" priority="24">
      <formula>$L80="VALUE INCONSISTENCY"</formula>
    </cfRule>
    <cfRule type="expression" dxfId="208" priority="176">
      <formula>$L80="MISSING VALUE"</formula>
    </cfRule>
    <cfRule type="expression" dxfId="207" priority="177">
      <formula>$L80="OK"</formula>
    </cfRule>
  </conditionalFormatting>
  <conditionalFormatting sqref="L126">
    <cfRule type="expression" dxfId="206" priority="187">
      <formula>$L$126="OK"</formula>
    </cfRule>
    <cfRule type="expression" dxfId="205" priority="188">
      <formula>$L$126="MISSING VALUE"</formula>
    </cfRule>
  </conditionalFormatting>
  <conditionalFormatting sqref="L128">
    <cfRule type="expression" dxfId="204" priority="86">
      <formula>$D$128="VALUE INCONSISTENCY"</formula>
    </cfRule>
  </conditionalFormatting>
  <conditionalFormatting sqref="L128:L153">
    <cfRule type="expression" dxfId="203" priority="189">
      <formula>$L128="VALUE INCONSISTENCY"</formula>
    </cfRule>
    <cfRule type="expression" dxfId="202" priority="240">
      <formula>$L128="MISSING VALUE"</formula>
    </cfRule>
    <cfRule type="expression" dxfId="201" priority="241">
      <formula>$L128="OK"</formula>
    </cfRule>
  </conditionalFormatting>
  <conditionalFormatting sqref="L129">
    <cfRule type="expression" dxfId="200" priority="85">
      <formula>$D$129="VALUE INCONSISTENCY"</formula>
    </cfRule>
  </conditionalFormatting>
  <conditionalFormatting sqref="L130">
    <cfRule type="expression" dxfId="199" priority="84">
      <formula>$D$130="VALUE INCONSISTENCY"</formula>
    </cfRule>
  </conditionalFormatting>
  <conditionalFormatting sqref="L131">
    <cfRule type="expression" dxfId="198" priority="87">
      <formula>$D$131="VALUE INCONSISTENCY"</formula>
    </cfRule>
  </conditionalFormatting>
  <conditionalFormatting sqref="L132">
    <cfRule type="expression" dxfId="197" priority="83">
      <formula>$D$132="VALUE INCONSISTENCY"</formula>
    </cfRule>
  </conditionalFormatting>
  <conditionalFormatting sqref="L133">
    <cfRule type="expression" dxfId="196" priority="58">
      <formula>$D$133="VALUE INCONSISTENCY"</formula>
    </cfRule>
  </conditionalFormatting>
  <conditionalFormatting sqref="L134">
    <cfRule type="expression" dxfId="195" priority="57">
      <formula>$D$134="VALUE INCONSISTENCY"</formula>
    </cfRule>
  </conditionalFormatting>
  <conditionalFormatting sqref="L135">
    <cfRule type="expression" dxfId="194" priority="56">
      <formula>$D$135="VALUE INCONSISTENCY"</formula>
    </cfRule>
  </conditionalFormatting>
  <conditionalFormatting sqref="L136">
    <cfRule type="expression" dxfId="193" priority="55">
      <formula>$D$136="VALUE INCONSISTENCY"</formula>
    </cfRule>
  </conditionalFormatting>
  <conditionalFormatting sqref="L137">
    <cfRule type="expression" dxfId="192" priority="54">
      <formula>$D$137="VALUE INCONSISTENCY"</formula>
    </cfRule>
  </conditionalFormatting>
  <conditionalFormatting sqref="L138">
    <cfRule type="expression" dxfId="191" priority="53">
      <formula>$D$138="VALUE INCONSISTENCY"</formula>
    </cfRule>
  </conditionalFormatting>
  <conditionalFormatting sqref="L139">
    <cfRule type="expression" dxfId="190" priority="52">
      <formula>$D$139="VALUE INCONSISTENCY"</formula>
    </cfRule>
  </conditionalFormatting>
  <conditionalFormatting sqref="L140">
    <cfRule type="expression" dxfId="189" priority="51">
      <formula>$D$140="VALUE INCONSISTENCY"</formula>
    </cfRule>
  </conditionalFormatting>
  <conditionalFormatting sqref="L141">
    <cfRule type="expression" dxfId="188" priority="50">
      <formula>$D$141="VALUE INCONSISTENCY"</formula>
    </cfRule>
  </conditionalFormatting>
  <conditionalFormatting sqref="L142">
    <cfRule type="expression" dxfId="187" priority="49">
      <formula>$D$142="VALUE INCONSISTENCY"</formula>
    </cfRule>
  </conditionalFormatting>
  <conditionalFormatting sqref="L143">
    <cfRule type="expression" dxfId="186" priority="48">
      <formula>$D$143="VALUE INCONSISTENCY"</formula>
    </cfRule>
  </conditionalFormatting>
  <conditionalFormatting sqref="L144">
    <cfRule type="expression" dxfId="185" priority="47">
      <formula>$D$144="VALUE INCONSISTENCY"</formula>
    </cfRule>
  </conditionalFormatting>
  <conditionalFormatting sqref="L145">
    <cfRule type="expression" dxfId="184" priority="46">
      <formula>$D$145="VALUE INCONSISTENCY"</formula>
    </cfRule>
  </conditionalFormatting>
  <conditionalFormatting sqref="L146">
    <cfRule type="expression" dxfId="183" priority="45">
      <formula>$D$146="VALUE INCONSISTENCY"</formula>
    </cfRule>
  </conditionalFormatting>
  <conditionalFormatting sqref="L147:L148">
    <cfRule type="expression" dxfId="182" priority="43">
      <formula>$D$147="VALUE INCONSISTENCY"</formula>
    </cfRule>
  </conditionalFormatting>
  <conditionalFormatting sqref="L149">
    <cfRule type="expression" dxfId="181" priority="42">
      <formula>$D$149="VALUE INCONSISTENCY"</formula>
    </cfRule>
  </conditionalFormatting>
  <conditionalFormatting sqref="L150">
    <cfRule type="expression" dxfId="180" priority="41">
      <formula>$D$150="VALUE INCONSISTENCY"</formula>
    </cfRule>
  </conditionalFormatting>
  <conditionalFormatting sqref="L151">
    <cfRule type="expression" dxfId="179" priority="40">
      <formula>$D$151="VALUE INCONSISTENCY"</formula>
    </cfRule>
  </conditionalFormatting>
  <conditionalFormatting sqref="L152">
    <cfRule type="expression" dxfId="178" priority="39">
      <formula>$D$152="VALUE INCONSISTENCY"</formula>
    </cfRule>
  </conditionalFormatting>
  <conditionalFormatting sqref="L153">
    <cfRule type="expression" dxfId="177" priority="38">
      <formula>$D$153="VALUE INCONSISTENCY"</formula>
    </cfRule>
  </conditionalFormatting>
  <conditionalFormatting sqref="L236:L240">
    <cfRule type="expression" dxfId="176" priority="147">
      <formula>$L236="MISSING VALUE"</formula>
    </cfRule>
    <cfRule type="expression" dxfId="175" priority="231">
      <formula>$L236="OK"</formula>
    </cfRule>
  </conditionalFormatting>
  <conditionalFormatting sqref="M189:M204">
    <cfRule type="expression" dxfId="174" priority="23">
      <formula>$M189="VALUE INCONSISTENCY"</formula>
    </cfRule>
    <cfRule type="expression" dxfId="173" priority="382">
      <formula>$M189="ERROR"</formula>
    </cfRule>
    <cfRule type="expression" dxfId="172" priority="383">
      <formula>$M189="MISSING VALUE"</formula>
    </cfRule>
    <cfRule type="expression" dxfId="171" priority="384">
      <formula>$M189="OK"</formula>
    </cfRule>
  </conditionalFormatting>
  <conditionalFormatting sqref="M244">
    <cfRule type="expression" dxfId="170" priority="230">
      <formula>$M$244="OK"</formula>
    </cfRule>
  </conditionalFormatting>
  <conditionalFormatting sqref="G12:J13">
    <cfRule type="expression" dxfId="169" priority="2">
      <formula>$G$10=TRUE</formula>
    </cfRule>
  </conditionalFormatting>
  <conditionalFormatting sqref="G14:J14">
    <cfRule type="expression" dxfId="168" priority="1">
      <formula>$G$10=FALSE</formula>
    </cfRule>
  </conditionalFormatting>
  <dataValidations count="61">
    <dataValidation allowBlank="1" showInputMessage="1" showErrorMessage="1" promptTitle="Warning (if applicable)" prompt="This disclosure is applicable only if the undertaking operates in a sector using significant material flows (for example manufacturing, construction, packaging or others)" sqref="D216"/>
    <dataValidation type="list" allowBlank="1" showInputMessage="1" showErrorMessage="1" sqref="C126:K126 C159">
      <formula1>enum_ListHectM2</formula1>
    </dataValidation>
    <dataValidation type="decimal" operator="equal" allowBlank="1" showInputMessage="1" showErrorMessage="1" promptTitle="Warning" prompt="Please insert only numbers and not letters or other special characters." sqref="D22:D23">
      <formula1>D22</formula1>
    </dataValidation>
    <dataValidation type="decimal" operator="equal" allowBlank="1" showInputMessage="1" showErrorMessage="1" sqref="G12:J13 C171:F171 G129:I153 D161:D164 J190:K203 G81:G119 H216:I225 G216:G227 G229:G230 H229:I229 J80:K119 G228:I228">
      <formula1>C12</formula1>
    </dataValidation>
    <dataValidation type="custom" allowBlank="1" showInputMessage="1" showErrorMessage="1" sqref="J232">
      <formula1>"cubic meters (m³)"</formula1>
    </dataValidation>
    <dataValidation type="custom" allowBlank="1" showInputMessage="1" showErrorMessage="1" sqref="J231">
      <formula1>"kilograms (kg)"</formula1>
    </dataValidation>
    <dataValidation type="custom" showInputMessage="1" showErrorMessage="1" sqref="D177:F177">
      <formula1>IF(D176&lt;&gt;"",$D$169-$D$176,"-")</formula1>
    </dataValidation>
    <dataValidation type="custom" showInputMessage="1" showErrorMessage="1" sqref="J161:J162">
      <formula1>IF(AND(D161&lt;&gt;"",G161&lt;&gt;""),(G161-D161)/D161,"-")</formula1>
    </dataValidation>
    <dataValidation type="custom" allowBlank="1" showInputMessage="1" showErrorMessage="1" sqref="J163">
      <formula1>IF(AND(D163&lt;&gt;"",G163&lt;&gt;""),(G163-D163)/D163,"-")</formula1>
    </dataValidation>
    <dataValidation type="custom" showInputMessage="1" showErrorMessage="1" sqref="J164">
      <formula1>IF(AND(D164&lt;&gt;"",G164&lt;&gt;""),(G164-D164)/D164,"0,00")</formula1>
    </dataValidation>
    <dataValidation type="custom" showInputMessage="1" showErrorMessage="1" sqref="L11">
      <formula1>IF(AND(G11="",J11="",K11=""),"-",SUM(G11:K11))</formula1>
    </dataValidation>
    <dataValidation type="custom" showInputMessage="1" showErrorMessage="1" sqref="K22:K26">
      <formula1>IF(AND(G22="",J22=""),"-",-(1-(J22/G22)))</formula1>
    </dataValidation>
    <dataValidation type="custom" showInputMessage="1" showErrorMessage="1" sqref="K12:K13">
      <formula1>IF(AND(G12="",J12=""),"-",SUM(G12:J12))</formula1>
    </dataValidation>
    <dataValidation type="decimal" operator="equal" showInputMessage="1" showErrorMessage="1" sqref="G128:I128 G30:I44">
      <formula1>G30</formula1>
    </dataValidation>
    <dataValidation allowBlank="1" showInputMessage="1" showErrorMessage="1" promptTitle="Warning (if applicable)" prompt="Disclosure C3 is applicable only if the undertaking has established GHG emission reduction targets." sqref="C52:K52"/>
    <dataValidation type="list" allowBlank="1" showInputMessage="1" showErrorMessage="1" sqref="D182:G182">
      <formula1>enum_ListYesNo</formula1>
    </dataValidation>
    <dataValidation allowBlank="1" showInputMessage="1" showErrorMessage="1" promptTitle="Additional rows" prompt="Lists can be expanded using the little [+] button on the left If the number of rows is not sufficient, those can be added by right clicking the second row and selecting &quot;Insert row&quot;" sqref="D218"/>
    <dataValidation type="list" operator="equal" allowBlank="1" showInputMessage="1" showErrorMessage="1" promptTitle="Warning" prompt="Disclosure C3 is applicable only if the undertaking has established GHG emission reduction targets._x000a_If this is the case, please fill this cell with the Target Year." sqref="J21">
      <formula1>enum_ListOfFutureYears</formula1>
    </dataValidation>
    <dataValidation type="list" operator="equal" allowBlank="1" showInputMessage="1" showErrorMessage="1" promptTitle="Warning (if applicable)" prompt="Disclosure C3 is applicable only if the undertaking has established GHG emission reduction targets._x000a_If this is the case, please fill this cell with the Base Year." sqref="G21:I21">
      <formula1>enum_ListOfPastYears</formula1>
    </dataValidation>
    <dataValidation type="decimal" operator="lessThanOrEqual" allowBlank="1" showInputMessage="1" showErrorMessage="1" sqref="D170">
      <formula1>D169</formula1>
    </dataValidation>
    <dataValidation type="decimal" operator="greaterThanOrEqual" allowBlank="1" showInputMessage="1" showErrorMessage="1" sqref="D169">
      <formula1>D170</formula1>
    </dataValidation>
    <dataValidation type="decimal" operator="greaterThanOrEqual" allowBlank="1" showInputMessage="1" showErrorMessage="1" promptTitle="Warning (if applicable)" prompt="Disclosure C3 is applicable only if the undertaking has established GHG emission reduction targets." sqref="G22">
      <formula1>J22</formula1>
    </dataValidation>
    <dataValidation type="decimal" operator="equal" showInputMessage="1" showErrorMessage="1" promptTitle="Warning" prompt="Please note that the formula present in this cell may be overwritten in case the undertaking wants to directly provide the value." sqref="J14">
      <formula1>J14</formula1>
    </dataValidation>
    <dataValidation type="decimal" operator="equal" showInputMessage="1" showErrorMessage="1" promptTitle="Warning" prompt="Please note that the formula present in this cell may be overwritten in case the undertaking wants to directly provide the value. " sqref="G14:I14">
      <formula1>G14</formula1>
    </dataValidation>
    <dataValidation type="decimal" operator="lessThanOrEqual" showInputMessage="1" showErrorMessage="1" sqref="G5:K5">
      <formula1>G5</formula1>
    </dataValidation>
    <dataValidation allowBlank="1" showInputMessage="1" showErrorMessage="1" promptTitle="Warning (if applicable)" prompt="This disclosure is applicable only if the undertaking has identified climate-related hazards and climate-related transition events, _x000a_creating gross climate-related risks." sqref="E236:K238 E240:K240"/>
    <dataValidation type="list" allowBlank="1" showInputMessage="1" showErrorMessage="1" promptTitle="Warning (if applicable)" prompt="This disclosure is applicable only if the undertaking operates in a sector using significant material flows (for example manufacturing, construction, packaging or others)" sqref="J216:J230">
      <formula1>enum_ListUnitMeasurement</formula1>
    </dataValidation>
    <dataValidation type="decimal" operator="equal" allowBlank="1" showInputMessage="1" showErrorMessage="1" promptTitle="Warning (if applicable)" prompt="This disclosure is applicable only if the undertaking is required by law or other national regulations to report to competent authorities its emissions of pollutants, or if it voluntarily reports on them according to an Environmental Management System." sqref="G80">
      <formula1>G80</formula1>
    </dataValidation>
    <dataValidation type="decimal" operator="equal" allowBlank="1" showInputMessage="1" showErrorMessage="1" promptTitle="Warning" prompt="Undertakings may also want to provide their market-based Scope 2 figures." sqref="D24:F24">
      <formula1>D24</formula1>
    </dataValidation>
    <dataValidation type="list" allowBlank="1" showInputMessage="1" showErrorMessage="1" sqref="C78:K78 G204:I204">
      <formula1>enum_ListUnitMeasurement_mass_only</formula1>
    </dataValidation>
    <dataValidation type="list" allowBlank="1" showInputMessage="1" showErrorMessage="1" promptTitle="Warning" prompt="Please select a Type of waste (Hazardous or Non-Hazardous) rather than a category else an ERROR message will appear." sqref="D189:F203">
      <formula1>enum_ListTypeOfWastes</formula1>
    </dataValidation>
    <dataValidation type="list" allowBlank="1" showInputMessage="1" showErrorMessage="1" sqref="G189:I203">
      <formula1>enum_ListUnitMeasurement</formula1>
    </dataValidation>
    <dataValidation type="custom" showInputMessage="1" showErrorMessage="1" sqref="G10:K10 G29 J19 G75:K75 D56:K56 G124:K124 G214:J214 E235:K235 D175">
      <formula1>OR(D10=TRUE,D10=FALSE)</formula1>
    </dataValidation>
    <dataValidation allowBlank="1" showInputMessage="1" showErrorMessage="1" promptTitle="Warning" prompt=" High climate impact sectors are those listed in NACE Sections A to H and Section L as defined in Annex I to_x000a_Regulation (EC) No 1893/2006._x000a_" sqref="C56"/>
    <dataValidation type="list" allowBlank="1" showInputMessage="1" showErrorMessage="1" sqref="D57:K57">
      <formula1>enum_ImplementationStatus</formula1>
    </dataValidation>
    <dataValidation allowBlank="1" showInputMessage="1" showErrorMessage="1" promptTitle="GHG intensity location based" prompt="total GHG emissions location based / turnover" sqref="C66:F66 C68:F68"/>
    <dataValidation allowBlank="1" showInputMessage="1" showErrorMessage="1" promptTitle="GHG intensity market based" prompt="total GHG emissions market based / turnover" sqref="C67:F67 C69:F69"/>
    <dataValidation allowBlank="1" showInputMessage="1" showErrorMessage="1" promptTitle="Formula" prompt="Water consumption = Water withdrawal - Water discharge from undertaking production processes" sqref="C177"/>
    <dataValidation type="decimal" operator="lessThanOrEqual" showInputMessage="1" showErrorMessage="1" promptTitle="Warning (if applicable)" prompt="Disclosure C3 is applicable only if the undertaking has established GHG emission reduction targets._x000a_" sqref="J22:J24">
      <formula1>G22</formula1>
    </dataValidation>
    <dataValidation type="decimal" operator="equal" allowBlank="1" showInputMessage="1" showErrorMessage="1" promptTitle="Warning (if applicable)" prompt="Disclosure C3 is applicable only if the undertaking has established GHG emission reduction targets._x000a_" sqref="G23:I24">
      <formula1>G23</formula1>
    </dataValidation>
    <dataValidation type="custom" showInputMessage="1" showErrorMessage="1" sqref="D25:J25">
      <formula1>IF(AND(D22="",D23=""),"-",SUM(D22,D23))</formula1>
    </dataValidation>
    <dataValidation type="custom" showInputMessage="1" showErrorMessage="1" sqref="D26:J26">
      <formula1>IF(OR(D22="",D24=""),"-",SUM(D22,D24))</formula1>
    </dataValidation>
    <dataValidation type="list" allowBlank="1" showInputMessage="1" showErrorMessage="1" promptTitle="Warning (if applicable)" prompt="This disclosure is applicable only if the undertaking has identified climate-related hazards and climate-related transition events, _x000a_creating gross climate-related risks." sqref="E239:K239">
      <formula1>enum_ListYesNo</formula1>
    </dataValidation>
    <dataValidation type="list" allowBlank="1" showInputMessage="1" showErrorMessage="1" promptTitle="Value inconsistency" prompt="If a validation related to value inconsistency is displayed, please select a site ID that is different from one of those previously selected." sqref="C128:C153">
      <formula1>IdentifierOfSiteTypedAxis</formula1>
    </dataValidation>
    <dataValidation type="custom" allowBlank="1" showInputMessage="1" showErrorMessage="1" sqref="K30:K47">
      <formula1>IF(AND(G30="-",J30="-"),"-",-(1-(J30/G30)))</formula1>
    </dataValidation>
    <dataValidation type="decimal" operator="equal" allowBlank="1" showInputMessage="1" showErrorMessage="1" promptTitle="Warning" prompt="Scope 3 categories according to the GHG protocol might help to calculate the total Scope 3 GHG emissions. In case the undertaking wants to, it can directly provide the Total Scope 3 GHG emissions in the respective cell." sqref="D30:F44">
      <formula1>D30</formula1>
    </dataValidation>
    <dataValidation type="custom" showInputMessage="1" showErrorMessage="1" sqref="D46:F46">
      <formula1>IF(G29=FALSE, "-", IF(AND(D22="", D23="", D45=""), "-", IF(SUM(D22, D23, D45)=0, "-", SUM(D22, D23, D45))))</formula1>
    </dataValidation>
    <dataValidation type="custom" showInputMessage="1" showErrorMessage="1" sqref="D47:F47">
      <formula1>IF(G29=FALSE,"-",IF(OR(D22="",D24="",D45=""),"-",SUM(D22,D24,D45)))</formula1>
    </dataValidation>
    <dataValidation type="custom" showInputMessage="1" showErrorMessage="1" sqref="G46:I46">
      <formula1>IF(G29=FALSE, "-", IF(AND(G22="", G23="", G45=""), "-", IF(SUM(G22, G23, G45)=0, "-", SUM(G22, G23, G45))))</formula1>
    </dataValidation>
    <dataValidation type="custom" showInputMessage="1" showErrorMessage="1" sqref="J46">
      <formula1>IF(G29=FALSE, "-", IF(AND(J22="", J23="", J45=""), "-", IF(SUM(J22, J23, J45)=0, "-", SUM(J22, J23, J45))))</formula1>
    </dataValidation>
    <dataValidation type="decimal" operator="equal" allowBlank="1" showInputMessage="1" showErrorMessage="1" prompt="If no waste is diverted to recycle or reuse, please insert the value &quot;0&quot;." sqref="J189">
      <formula1>J189</formula1>
    </dataValidation>
    <dataValidation type="decimal" operator="equal" allowBlank="1" showInputMessage="1" showErrorMessage="1" prompt="If no waste is diverted to disposal, please insert the value &quot;0&quot;." sqref="K189">
      <formula1>K189</formula1>
    </dataValidation>
    <dataValidation type="custom" showInputMessage="1" showErrorMessage="1" sqref="J128:J153">
      <formula1>IF(K128=TRUE,FALSE,TRUE)</formula1>
    </dataValidation>
    <dataValidation type="custom" showInputMessage="1" showErrorMessage="1" sqref="K128:K153">
      <formula1>IF(J128=TRUE,FALSE,TRUE)</formula1>
    </dataValidation>
    <dataValidation type="custom" allowBlank="1" showInputMessage="1" showErrorMessage="1" sqref="G74:K74">
      <formula1>OR(G74=TRUE,G74=FALSE)</formula1>
    </dataValidation>
    <dataValidation type="list" allowBlank="1" showInputMessage="1" showErrorMessage="1" sqref="D80:F119">
      <formula1>enum_ListPollutants</formula1>
    </dataValidation>
    <dataValidation type="decimal" operator="lessThanOrEqual" allowBlank="1" showInputMessage="1" showErrorMessage="1" sqref="D176">
      <formula1>D169</formula1>
    </dataValidation>
    <dataValidation type="decimal" operator="lessThanOrEqual" showInputMessage="1" showErrorMessage="1" sqref="J30:J44">
      <formula1>G30</formula1>
    </dataValidation>
    <dataValidation type="list" allowBlank="1" showInputMessage="1" showErrorMessage="1" sqref="I59:K59">
      <formula1>enum_ListOfFutureYears</formula1>
    </dataValidation>
    <dataValidation type="list" allowBlank="1" showInputMessage="1" showErrorMessage="1" sqref="I60:K60">
      <formula1>enum_ListMonth</formula1>
    </dataValidation>
    <dataValidation type="list" allowBlank="1" showInputMessage="1" showErrorMessage="1" sqref="I61:K61">
      <formula1>enum_ListDays</formula1>
    </dataValidation>
  </dataValidations>
  <hyperlinks>
    <hyperlink ref="C3" r:id="rId1" location="id-69" display="https://xbrl.efrag.org/e-esrs/2024-12-17-efrag-vsme.xhtml - id-69"/>
    <hyperlink ref="C4" r:id="rId2" location="id-182"/>
    <hyperlink ref="C50" r:id="rId3" location="id-117"/>
    <hyperlink ref="C51" r:id="rId4" location="id-407" display="https://xbrl.efrag.org/e-esrs/2024-12-17-efrag-vsme.xhtml - id-407"/>
    <hyperlink ref="G17" r:id="rId5" location="id-118" display="Paragraph 54(b)"/>
    <hyperlink ref="J17" r:id="rId6" location="id-117"/>
    <hyperlink ref="D18" r:id="rId7" location="id-196"/>
    <hyperlink ref="G18" r:id="rId8" location="id-400"/>
    <hyperlink ref="D28" r:id="rId9" location="id-398"/>
    <hyperlink ref="C72" r:id="rId10" location="id-74" display="https://xbrl.efrag.org/e-esrs/2024-12-17-efrag-vsme.xhtml - id-74"/>
    <hyperlink ref="C73" r:id="rId11" location="id-236"/>
    <hyperlink ref="C156" r:id="rId12" location="id-76" display="https://xbrl.efrag.org/e-esrs/2024-12-17-efrag-vsme.xhtml - id-76"/>
    <hyperlink ref="C180" r:id="rId13" location="id-83" display="https://xbrl.efrag.org/e-esrs/2024-12-17-efrag-vsme.xhtml - id-83"/>
    <hyperlink ref="C186" r:id="rId14" location="id-85"/>
    <hyperlink ref="C157" r:id="rId15" location="id-264"/>
    <hyperlink ref="C181" r:id="rId16" location="id-290" display="https://xbrl.efrag.org/e-esrs/2024-12-17-efrag-vsme.xhtml - id-290"/>
    <hyperlink ref="C187" r:id="rId17" location="id-291"/>
    <hyperlink ref="A236" r:id="rId18" location="id-125"/>
    <hyperlink ref="A237" r:id="rId19" location="id-126"/>
    <hyperlink ref="A238" r:id="rId20" location="id-127"/>
    <hyperlink ref="A239" r:id="rId21" location="id-128"/>
    <hyperlink ref="A240" r:id="rId22" location="id-129" display="https://xbrl.efrag.org/e-esrs/2024-12-17-efrag-vsme.xhtml - id-129"/>
    <hyperlink ref="B236" r:id="rId23" location="id-412"/>
    <hyperlink ref="B237" r:id="rId24" location="id-412"/>
    <hyperlink ref="B238" r:id="rId25" location="id-412"/>
    <hyperlink ref="B239" r:id="rId26" location="id-412"/>
    <hyperlink ref="B240" r:id="rId27" location="id-412"/>
    <hyperlink ref="K17" r:id="rId28" location="id-120" display="Paragraph 54(d) "/>
    <hyperlink ref="C122" r:id="rId29" location="id-75" display="https://xbrl.efrag.org/e-esrs/2024-12-17-efrag-vsme.xhtml - id-75"/>
    <hyperlink ref="C123" r:id="rId30" location="id-260"/>
    <hyperlink ref="C212" r:id="rId31" location="id-87"/>
    <hyperlink ref="C213" r:id="rId32" location="id-353"/>
    <hyperlink ref="C65" r:id="rId33" location="id-73" display="https://xbrl.efrag.org/e-esrs/2024-12-17-efrag-vsme.xhtml - id-73"/>
    <hyperlink ref="C243" r:id="rId34" location="id-30" display="https://xbrl.efrag.org/e-esrs/2024-12-17-efrag-vsme.xhtml - id-30"/>
    <hyperlink ref="C167" r:id="rId35" location="id-81" display="https://xbrl.efrag.org/e-esrs/2024-12-17-efrag-vsme.xhtml - id-81"/>
    <hyperlink ref="C168" r:id="rId36" location="id-287"/>
    <hyperlink ref="C173" r:id="rId37" location="id-81" display="35-36"/>
    <hyperlink ref="C174" r:id="rId38" location="id-268"/>
    <hyperlink ref="C17:D17" r:id="rId39" location="id-70" display="https://xbrl.efrag.org/e-esrs/2024-12-17-efrag-vsme.xhtml - id-70"/>
    <hyperlink ref="C27:D27" r:id="rId40" location="id-112" display="50-53"/>
    <hyperlink ref="J18" r:id="rId41" location="id-400"/>
    <hyperlink ref="K18" r:id="rId42" location="id-400"/>
    <hyperlink ref="G27:J27" r:id="rId43" location="id-116" display="https://xbrl.efrag.org/e-esrs/2024-12-17-efrag-vsme.xhtml - id-116"/>
    <hyperlink ref="A57" r:id="rId44" location="id-122" display="https://xbrl.efrag.org/e-esrs/2024-12-17-efrag-vsme.xhtml - id-122"/>
    <hyperlink ref="A59" r:id="rId45" location="id-123" display="https://xbrl.efrag.org/e-esrs/2024-12-17-efrag-vsme.xhtml - id-123"/>
    <hyperlink ref="A58" r:id="rId46" location="id-122" display="https://xbrl.efrag.org/e-esrs/2024-12-17-efrag-vsme.xhtml - id-122"/>
    <hyperlink ref="C8" r:id="rId47" location="id-69" display="https://xbrl.efrag.org/e-esrs/2024-12-17-efrag-vsme.xhtml - id-69"/>
    <hyperlink ref="C9" r:id="rId48" location="id-182"/>
    <hyperlink ref="A56" r:id="rId49" location="id-122" display="https://xbrl.efrag.org/e-esrs/2024-12-17-efrag-vsme.xhtml - id-122"/>
    <hyperlink ref="B56" r:id="rId50" location="id-408"/>
    <hyperlink ref="C173:D173" r:id="rId51" location="id-82" display="https://xbrl.efrag.org/e-esrs/2024-12-17-efrag-vsme.xhtml - id-82"/>
    <hyperlink ref="C14:F14" location="template_FUEL_CONVERTER" display="Fuels (see Fuel Converter on Fuels worksheet)"/>
  </hyperlinks>
  <pageMargins left="0.25" right="0.25" top="0.75" bottom="0.75" header="0.3" footer="0.3"/>
  <pageSetup paperSize="9" scale="30" fitToHeight="0" orientation="landscape" r:id="rId52"/>
  <drawing r:id="rId5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9"/>
  <sheetViews>
    <sheetView topLeftCell="A59" zoomScale="84" zoomScaleNormal="84" workbookViewId="0">
      <selection activeCell="D68" sqref="D68:H68"/>
    </sheetView>
  </sheetViews>
  <sheetFormatPr baseColWidth="10" defaultColWidth="8.875" defaultRowHeight="14.25" outlineLevelRow="1"/>
  <cols>
    <col min="1" max="2" width="10" style="10" bestFit="1" customWidth="1"/>
    <col min="3" max="3" width="70.25" style="10" customWidth="1"/>
    <col min="4" max="4" width="38.125" style="10" customWidth="1"/>
    <col min="5" max="5" width="27.875" style="10" customWidth="1"/>
    <col min="6" max="7" width="8.875" style="10"/>
    <col min="8" max="9" width="21.25" style="10" bestFit="1" customWidth="1"/>
    <col min="10" max="16384" width="8.875" style="10"/>
  </cols>
  <sheetData>
    <row r="1" spans="1:8" ht="43.5" thickBot="1">
      <c r="A1" s="308" t="s">
        <v>4565</v>
      </c>
      <c r="B1" s="308" t="s">
        <v>4564</v>
      </c>
    </row>
    <row r="2" spans="1:8" ht="15.75" thickBot="1">
      <c r="C2" s="1002" t="s">
        <v>3847</v>
      </c>
      <c r="D2" s="1003"/>
      <c r="E2" s="1004"/>
      <c r="F2" s="1005" t="str">
        <f>IF('General Information'!$E$64="","-",'General Information'!$E$64)</f>
        <v>Full-time equivalent (FTE)</v>
      </c>
      <c r="G2" s="1005"/>
      <c r="H2" s="1006"/>
    </row>
    <row r="3" spans="1:8" ht="15.75" thickBot="1">
      <c r="C3" s="1002" t="s">
        <v>3848</v>
      </c>
      <c r="D3" s="1003"/>
      <c r="E3" s="1004"/>
      <c r="F3" s="1007" t="str">
        <f>IF('General Information'!$E$63="","-",'General Information'!$E$63)</f>
        <v>At the end of the reporting period</v>
      </c>
      <c r="G3" s="1008"/>
      <c r="H3" s="1009"/>
    </row>
    <row r="5" spans="1:8" ht="15" thickBot="1"/>
    <row r="6" spans="1:8" ht="15">
      <c r="C6" s="500" t="str">
        <f xml:space="preserve"> "B8 – Workforce – General characteristics - Type of contract "  &amp; " [Always to be reported]"</f>
        <v>B8 – Workforce – General characteristics - Type of contract  [Always to be reported]</v>
      </c>
      <c r="D6" s="501"/>
      <c r="E6" s="501"/>
      <c r="F6" s="501"/>
      <c r="G6" s="502"/>
      <c r="H6"/>
    </row>
    <row r="7" spans="1:8">
      <c r="C7" s="515" t="s">
        <v>4606</v>
      </c>
      <c r="D7" s="516"/>
      <c r="E7" s="516"/>
      <c r="F7" s="516"/>
      <c r="G7" s="517"/>
    </row>
    <row r="8" spans="1:8">
      <c r="C8" s="512" t="s">
        <v>4607</v>
      </c>
      <c r="D8" s="948"/>
      <c r="E8" s="948"/>
      <c r="F8" s="948"/>
      <c r="G8" s="995"/>
    </row>
    <row r="9" spans="1:8" ht="15">
      <c r="C9" s="169" t="s">
        <v>32</v>
      </c>
      <c r="D9" s="996" t="s">
        <v>33</v>
      </c>
      <c r="E9" s="997"/>
      <c r="F9" s="997"/>
      <c r="G9" s="998"/>
      <c r="H9" s="170"/>
    </row>
    <row r="10" spans="1:8" ht="15">
      <c r="C10" s="171" t="s">
        <v>35</v>
      </c>
      <c r="D10" s="658">
        <v>118</v>
      </c>
      <c r="E10" s="659"/>
      <c r="F10" s="659"/>
      <c r="G10" s="660"/>
      <c r="H10" s="15" t="str">
        <f>IF(AND(OR('General Information'!E32="Option A (Basic Module only)", 'General Information'!E32="Option B (Basic Module and Comprehensive Module)"),D10=""),"MISSING VALUE",IF('General Information'!E32="","","OK"))</f>
        <v>OK</v>
      </c>
    </row>
    <row r="11" spans="1:8" ht="15">
      <c r="C11" s="171" t="s">
        <v>34</v>
      </c>
      <c r="D11" s="999">
        <f>IFERROR(IF(D10="", "-", $D$12 - $D$10), "-")</f>
        <v>2</v>
      </c>
      <c r="E11" s="1000"/>
      <c r="F11" s="1000"/>
      <c r="G11" s="1001"/>
      <c r="H11" s="15"/>
    </row>
    <row r="12" spans="1:8" ht="15.75" thickBot="1">
      <c r="C12" s="172" t="s">
        <v>3634</v>
      </c>
      <c r="D12" s="987">
        <f>IF('General Information'!$E$62="", "-", VALUE(SUBSTITUTE('General Information'!$E$62, "-", "0")))</f>
        <v>120</v>
      </c>
      <c r="E12" s="987"/>
      <c r="F12" s="987"/>
      <c r="G12" s="983"/>
      <c r="H12" s="17"/>
    </row>
    <row r="13" spans="1:8" ht="15" thickBot="1"/>
    <row r="14" spans="1:8" ht="15">
      <c r="C14" s="500" t="str">
        <f xml:space="preserve"> "B8 – Workforce – General characteristics - Gender " &amp; " [Always to be reported]"</f>
        <v>B8 – Workforce – General characteristics - Gender  [Always to be reported]</v>
      </c>
      <c r="D14" s="501"/>
      <c r="E14" s="501"/>
      <c r="F14" s="501"/>
      <c r="G14" s="502"/>
      <c r="H14"/>
    </row>
    <row r="15" spans="1:8">
      <c r="C15" s="515" t="s">
        <v>4608</v>
      </c>
      <c r="D15" s="516"/>
      <c r="E15" s="516"/>
      <c r="F15" s="516"/>
      <c r="G15" s="517"/>
    </row>
    <row r="16" spans="1:8">
      <c r="C16" s="512" t="s">
        <v>4607</v>
      </c>
      <c r="D16" s="513"/>
      <c r="E16" s="513"/>
      <c r="F16" s="513"/>
      <c r="G16" s="514"/>
    </row>
    <row r="17" spans="3:9" ht="15">
      <c r="C17" s="173" t="s">
        <v>36</v>
      </c>
      <c r="D17" s="1010" t="s">
        <v>33</v>
      </c>
      <c r="E17" s="1011"/>
      <c r="F17" s="1011"/>
      <c r="G17" s="1012"/>
    </row>
    <row r="18" spans="3:9">
      <c r="C18" s="174" t="s">
        <v>37</v>
      </c>
      <c r="D18" s="658">
        <v>79</v>
      </c>
      <c r="E18" s="659"/>
      <c r="F18" s="659"/>
      <c r="G18" s="660"/>
      <c r="H18" s="991" t="str">
        <f>IF(OR('General Information'!E32="Option A (Basic Module only)", 'General Information'!E32="Option B (Basic Module and Comprehensive Module)"), IF(NumberOfMaleEmployees+NumberOfFemaleEmployees+NumberOfOtherGenderEmployees+NumberOfNonReportedGenderEmployees=D22, "OK", "MISSING VALUE"), "")</f>
        <v>OK</v>
      </c>
    </row>
    <row r="19" spans="3:9">
      <c r="C19" s="174" t="s">
        <v>38</v>
      </c>
      <c r="D19" s="658">
        <v>41</v>
      </c>
      <c r="E19" s="659"/>
      <c r="F19" s="659"/>
      <c r="G19" s="660"/>
      <c r="H19" s="991"/>
    </row>
    <row r="20" spans="3:9">
      <c r="C20" s="174" t="s">
        <v>39</v>
      </c>
      <c r="D20" s="658"/>
      <c r="E20" s="659"/>
      <c r="F20" s="659"/>
      <c r="G20" s="660"/>
      <c r="H20" s="991"/>
    </row>
    <row r="21" spans="3:9">
      <c r="C21" s="174" t="s">
        <v>40</v>
      </c>
      <c r="D21" s="992"/>
      <c r="E21" s="993"/>
      <c r="F21" s="993"/>
      <c r="G21" s="994"/>
      <c r="H21" s="991"/>
    </row>
    <row r="22" spans="3:9" ht="15.75" thickBot="1">
      <c r="C22" s="172" t="s">
        <v>3634</v>
      </c>
      <c r="D22" s="987">
        <f>IF('General Information'!$E$62="","-",'General Information'!$E$62)</f>
        <v>120</v>
      </c>
      <c r="E22" s="987"/>
      <c r="F22" s="987"/>
      <c r="G22" s="983"/>
      <c r="H22" s="18"/>
    </row>
    <row r="23" spans="3:9" ht="15" thickBot="1"/>
    <row r="24" spans="3:9" ht="15">
      <c r="C24" s="984" t="str">
        <f xml:space="preserve"> "B8 – Workforce – General characteristics - Country of employment " &amp; " [If applicable]"</f>
        <v>B8 – Workforce – General characteristics - Country of employment  [If applicable]</v>
      </c>
      <c r="D24" s="985"/>
      <c r="E24" s="985"/>
      <c r="F24" s="985"/>
      <c r="G24" s="985"/>
      <c r="H24" s="986"/>
    </row>
    <row r="25" spans="3:9">
      <c r="C25" s="635" t="s">
        <v>4609</v>
      </c>
      <c r="D25" s="636"/>
      <c r="E25" s="636"/>
      <c r="F25" s="636"/>
      <c r="G25" s="636"/>
      <c r="H25" s="637"/>
    </row>
    <row r="26" spans="3:9">
      <c r="C26" s="629" t="s">
        <v>4607</v>
      </c>
      <c r="D26" s="630"/>
      <c r="E26" s="630"/>
      <c r="F26" s="630"/>
      <c r="G26" s="630"/>
      <c r="H26" s="631"/>
    </row>
    <row r="27" spans="3:9" ht="15">
      <c r="C27" s="769" t="s">
        <v>41</v>
      </c>
      <c r="D27" s="988"/>
      <c r="E27" s="989" t="s">
        <v>33</v>
      </c>
      <c r="F27" s="989"/>
      <c r="G27" s="989"/>
      <c r="H27" s="990"/>
    </row>
    <row r="28" spans="3:9" ht="15">
      <c r="C28" s="770" t="s">
        <v>294</v>
      </c>
      <c r="D28" s="977"/>
      <c r="E28" s="978">
        <v>120</v>
      </c>
      <c r="F28" s="978"/>
      <c r="G28" s="978"/>
      <c r="H28" s="979"/>
      <c r="I28" s="15" t="str">
        <f>IF(AND(C28="", E28=""), "",
IF(AND(C28&lt;&gt;"", E28=""), "MISSING VALUE",
IF(AND(C28&lt;&gt;"", E28&lt;&gt;""),
   IF($E$28+$E$29+$E$30+$E$31+$E$32+$E$33+$E$34+$E$35+$E$36+$E$37&lt;$E$38, "MISSING VALUE",
   IF(COUNTIF($C$28:$C$37, C28) &gt; 1, "VALUE INCONSISTENCY", "OK")),
"MISSING VALUE")))</f>
        <v>OK</v>
      </c>
    </row>
    <row r="29" spans="3:9" ht="15">
      <c r="C29" s="770"/>
      <c r="D29" s="977"/>
      <c r="E29" s="978"/>
      <c r="F29" s="978"/>
      <c r="G29" s="978"/>
      <c r="H29" s="979"/>
      <c r="I29" s="15" t="str">
        <f t="shared" ref="I29:I37" si="0">IF(AND(C29="", E29=""), "",
IF(AND(C29&lt;&gt;"", E29=""), "MISSING VALUE",
IF(AND(C29&lt;&gt;"", E29&lt;&gt;""),
   IF($E$28+$E$29+$E$30+$E$31+$E$32+$E$33+$E$34+$E$35+$E$36+$E$37&lt;$E$38, "MISSING VALUE",
   IF(COUNTIF($C$28:$C$37, C29) &gt; 1, "VALUE INCONSISTENCY", "OK")),
"MISSING VALUE")))</f>
        <v/>
      </c>
    </row>
    <row r="30" spans="3:9" ht="15">
      <c r="C30" s="770"/>
      <c r="D30" s="977"/>
      <c r="E30" s="978"/>
      <c r="F30" s="978"/>
      <c r="G30" s="978"/>
      <c r="H30" s="979"/>
      <c r="I30" s="15" t="str">
        <f t="shared" si="0"/>
        <v/>
      </c>
    </row>
    <row r="31" spans="3:9" ht="15" hidden="1" outlineLevel="1">
      <c r="C31" s="770"/>
      <c r="D31" s="977"/>
      <c r="E31" s="978"/>
      <c r="F31" s="978"/>
      <c r="G31" s="978"/>
      <c r="H31" s="979"/>
      <c r="I31" s="15" t="str">
        <f t="shared" si="0"/>
        <v/>
      </c>
    </row>
    <row r="32" spans="3:9" ht="15" hidden="1" outlineLevel="1">
      <c r="C32" s="770"/>
      <c r="D32" s="977"/>
      <c r="E32" s="978"/>
      <c r="F32" s="978"/>
      <c r="G32" s="978"/>
      <c r="H32" s="979"/>
      <c r="I32" s="15" t="str">
        <f t="shared" si="0"/>
        <v/>
      </c>
    </row>
    <row r="33" spans="3:9" ht="15" hidden="1" outlineLevel="1">
      <c r="C33" s="770"/>
      <c r="D33" s="977"/>
      <c r="E33" s="978"/>
      <c r="F33" s="978"/>
      <c r="G33" s="978"/>
      <c r="H33" s="979"/>
      <c r="I33" s="15" t="str">
        <f t="shared" si="0"/>
        <v/>
      </c>
    </row>
    <row r="34" spans="3:9" ht="15" hidden="1" outlineLevel="1">
      <c r="C34" s="770"/>
      <c r="D34" s="977"/>
      <c r="E34" s="978"/>
      <c r="F34" s="978"/>
      <c r="G34" s="978"/>
      <c r="H34" s="979"/>
      <c r="I34" s="15" t="str">
        <f t="shared" si="0"/>
        <v/>
      </c>
    </row>
    <row r="35" spans="3:9" ht="15" hidden="1" outlineLevel="1">
      <c r="C35" s="770"/>
      <c r="D35" s="977"/>
      <c r="E35" s="978"/>
      <c r="F35" s="978"/>
      <c r="G35" s="978"/>
      <c r="H35" s="979"/>
      <c r="I35" s="15" t="str">
        <f t="shared" si="0"/>
        <v/>
      </c>
    </row>
    <row r="36" spans="3:9" ht="15" hidden="1" outlineLevel="1">
      <c r="C36" s="770"/>
      <c r="D36" s="977"/>
      <c r="E36" s="978"/>
      <c r="F36" s="978"/>
      <c r="G36" s="978"/>
      <c r="H36" s="979"/>
      <c r="I36" s="15" t="str">
        <f t="shared" si="0"/>
        <v/>
      </c>
    </row>
    <row r="37" spans="3:9" ht="15" hidden="1" outlineLevel="1">
      <c r="C37" s="770"/>
      <c r="D37" s="977"/>
      <c r="E37" s="978"/>
      <c r="F37" s="978"/>
      <c r="G37" s="978"/>
      <c r="H37" s="979"/>
      <c r="I37" s="15" t="str">
        <f t="shared" si="0"/>
        <v/>
      </c>
    </row>
    <row r="38" spans="3:9" ht="15.75" collapsed="1" thickBot="1">
      <c r="C38" s="980" t="s">
        <v>3634</v>
      </c>
      <c r="D38" s="981"/>
      <c r="E38" s="982">
        <f>IF('General Information'!$E$62="","-",'General Information'!$E$62)</f>
        <v>120</v>
      </c>
      <c r="F38" s="982"/>
      <c r="G38" s="982"/>
      <c r="H38" s="983"/>
      <c r="I38" s="15"/>
    </row>
    <row r="39" spans="3:9" ht="15" thickBot="1"/>
    <row r="40" spans="3:9" ht="15">
      <c r="C40" s="984" t="str">
        <f xml:space="preserve"> "B8 – Workforce – General characteristics - Turnover rate " &amp; template_reporting_period_display &amp; " [If applicable]"</f>
        <v>B8 – Workforce – General characteristics - Turnover rate from 2024-01-01 to 2024-12-31 [If applicable]</v>
      </c>
      <c r="D40" s="985"/>
      <c r="E40" s="985"/>
      <c r="F40" s="985"/>
      <c r="G40" s="985"/>
      <c r="H40" s="986"/>
    </row>
    <row r="41" spans="3:9">
      <c r="C41" s="515">
        <v>40</v>
      </c>
      <c r="D41" s="516"/>
      <c r="E41" s="516"/>
      <c r="F41" s="516"/>
      <c r="G41" s="516"/>
      <c r="H41" s="517"/>
    </row>
    <row r="42" spans="3:9">
      <c r="C42" s="512">
        <v>183</v>
      </c>
      <c r="D42" s="513"/>
      <c r="E42" s="513"/>
      <c r="F42" s="513"/>
      <c r="G42" s="513"/>
      <c r="H42" s="514"/>
    </row>
    <row r="43" spans="3:9" ht="15">
      <c r="C43" s="175" t="s">
        <v>3852</v>
      </c>
      <c r="D43" s="973">
        <v>19</v>
      </c>
      <c r="E43" s="973"/>
      <c r="F43" s="973"/>
      <c r="G43" s="973"/>
      <c r="H43" s="974"/>
      <c r="I43" s="15" t="str">
        <f>IF(AND('General Information'!$E$62&lt;50, D43=""),"", IF(AND('General Information'!$E$62&lt;50, D43&lt;&gt;""),"OK", IF(AND('General Information'!$E$62&gt;=50, D43&lt;&gt;""),"OK", "MISSING VALUE")))</f>
        <v>OK</v>
      </c>
    </row>
    <row r="44" spans="3:9" ht="15">
      <c r="C44" s="175" t="s">
        <v>3853</v>
      </c>
      <c r="D44" s="973">
        <v>20</v>
      </c>
      <c r="E44" s="973"/>
      <c r="F44" s="973"/>
      <c r="G44" s="973"/>
      <c r="H44" s="974"/>
      <c r="I44" s="15" t="str">
        <f>IF(AND('General Information'!$E$62&lt;50, D44=""),"", IF(AND('General Information'!$E$62&lt;50, D44&lt;&gt;""),"OK", IF(AND('General Information'!$E$62&gt;=50, D44&lt;&gt;""),"OK", "MISSING VALUE")))</f>
        <v>OK</v>
      </c>
    </row>
    <row r="45" spans="3:9" ht="15">
      <c r="C45" s="175" t="s">
        <v>3854</v>
      </c>
      <c r="D45" s="973">
        <v>120</v>
      </c>
      <c r="E45" s="973"/>
      <c r="F45" s="973"/>
      <c r="G45" s="973"/>
      <c r="H45" s="974"/>
      <c r="I45" s="15" t="str">
        <f>IF(AND('General Information'!$E$62&lt;50, D45=""),"", IF(AND('General Information'!$E$62&lt;50, D45&lt;&gt;""),"OK", IF(AND('General Information'!$E$62&gt;=50, D45&lt;&gt;""),"OK", "MISSING VALUE")))</f>
        <v>OK</v>
      </c>
    </row>
    <row r="46" spans="3:9" ht="15.75" thickBot="1">
      <c r="C46" s="121" t="s">
        <v>4315</v>
      </c>
      <c r="D46" s="975">
        <f>IF(AND(D43&lt;&gt;"",D44&lt;&gt;"",D45&lt;&gt;""),(D43/((D44+D45)/2)),"-")</f>
        <v>0.27142857142857141</v>
      </c>
      <c r="E46" s="975"/>
      <c r="F46" s="975"/>
      <c r="G46" s="975"/>
      <c r="H46" s="976"/>
    </row>
    <row r="47" spans="3:9" ht="15" thickBot="1"/>
    <row r="48" spans="3:9" ht="15.75" thickBot="1">
      <c r="C48" s="520" t="str">
        <f xml:space="preserve"> "B9 – Workforce – Health and safety " &amp; template_reporting_period_display &amp; " [Always to be reported]"</f>
        <v>B9 – Workforce – Health and safety from 2024-01-01 to 2024-12-31 [Always to be reported]</v>
      </c>
      <c r="D48" s="521"/>
      <c r="E48" s="521"/>
      <c r="F48" s="521"/>
      <c r="G48" s="521"/>
      <c r="H48" s="522"/>
    </row>
    <row r="49" spans="1:9" ht="15">
      <c r="A49" s="293" t="s">
        <v>4610</v>
      </c>
      <c r="B49" s="298" t="s">
        <v>4612</v>
      </c>
      <c r="C49" s="310" t="s">
        <v>3855</v>
      </c>
      <c r="D49" s="962">
        <v>0</v>
      </c>
      <c r="E49" s="962"/>
      <c r="F49" s="962"/>
      <c r="G49" s="962"/>
      <c r="H49" s="963"/>
      <c r="I49" s="15" t="str">
        <f>IF(AND(OR('General Information'!E32="Option A (Basic Module only)", 'General Information'!E32="Option B (Basic Module and Comprehensive Module)"),NumberOfRecordableWorkRelatedAccidentsInTheReportingPeriod=""),"MISSING VALUE",IF('General Information'!E32="","","OK"))</f>
        <v>OK</v>
      </c>
    </row>
    <row r="50" spans="1:9" ht="15">
      <c r="A50" s="294" t="s">
        <v>4610</v>
      </c>
      <c r="B50" s="298" t="s">
        <v>4612</v>
      </c>
      <c r="C50" s="176" t="s">
        <v>3856</v>
      </c>
      <c r="D50" s="964">
        <v>8800</v>
      </c>
      <c r="E50" s="965"/>
      <c r="F50" s="965"/>
      <c r="G50" s="965"/>
      <c r="H50" s="966"/>
      <c r="I50" s="15" t="str">
        <f>IF(D50="", "MISSING VALUE", IF(D50&lt;&gt;2000, "OK", ""))</f>
        <v>OK</v>
      </c>
    </row>
    <row r="51" spans="1:9" ht="15">
      <c r="A51" s="294" t="s">
        <v>4610</v>
      </c>
      <c r="B51" s="298" t="s">
        <v>4612</v>
      </c>
      <c r="C51" s="176" t="s">
        <v>3857</v>
      </c>
      <c r="D51" s="967">
        <f>IF('General Information'!E62="","-",D50*'General Information'!E62)</f>
        <v>1056000</v>
      </c>
      <c r="E51" s="968"/>
      <c r="F51" s="968"/>
      <c r="G51" s="968"/>
      <c r="H51" s="969"/>
      <c r="I51" s="15"/>
    </row>
    <row r="52" spans="1:9" ht="15.75" thickBot="1">
      <c r="A52" s="294" t="s">
        <v>4610</v>
      </c>
      <c r="B52" s="298" t="s">
        <v>4612</v>
      </c>
      <c r="C52" s="240" t="s">
        <v>4301</v>
      </c>
      <c r="D52" s="970">
        <f>IFERROR(IF(AND(D49&lt;&gt;"", D51&lt;&gt;""), ($D$49/$D$51)*200000, "-"), "-")</f>
        <v>0</v>
      </c>
      <c r="E52" s="971"/>
      <c r="F52" s="971"/>
      <c r="G52" s="971"/>
      <c r="H52" s="972"/>
    </row>
    <row r="53" spans="1:9" ht="15.75" thickBot="1">
      <c r="A53" s="293" t="s">
        <v>4611</v>
      </c>
      <c r="B53" s="301" t="s">
        <v>4612</v>
      </c>
      <c r="C53" s="239" t="s">
        <v>43</v>
      </c>
      <c r="D53" s="958">
        <v>0</v>
      </c>
      <c r="E53" s="958"/>
      <c r="F53" s="958"/>
      <c r="G53" s="958"/>
      <c r="H53" s="959"/>
      <c r="I53" s="15" t="str">
        <f>IF(AND(OR('General Information'!E32="Option A (Basic Module only)", 'General Information'!E32="Option B (Basic Module and Comprehensive Module)"),NumberOfFatalitiesAsAResultOfWorkRelatedInjuriesAndWorkRelatedIllHealth=""),"MISSING VALUE",IF('General Information'!E32="","","OK"))</f>
        <v>OK</v>
      </c>
    </row>
    <row r="54" spans="1:9" ht="15" thickBot="1"/>
    <row r="55" spans="1:9" ht="15">
      <c r="C55" s="955" t="str">
        <f xml:space="preserve"> "B10 – Workforce – Remuneration, collective bargaining and training " &amp; template_reporting_period_display &amp; " [Always to be reported + If applicable]"</f>
        <v>B10 – Workforce – Remuneration, collective bargaining and training from 2024-01-01 to 2024-12-31 [Always to be reported + If applicable]</v>
      </c>
      <c r="D55" s="956"/>
      <c r="E55" s="956"/>
      <c r="F55" s="956"/>
      <c r="G55" s="956"/>
      <c r="H55" s="957"/>
    </row>
    <row r="56" spans="1:9" ht="43.5" thickBot="1">
      <c r="A56" s="293" t="s">
        <v>4613</v>
      </c>
      <c r="B56" s="293" t="s">
        <v>4616</v>
      </c>
      <c r="C56" s="237" t="s">
        <v>3781</v>
      </c>
      <c r="D56" s="960" t="s">
        <v>3622</v>
      </c>
      <c r="E56" s="960"/>
      <c r="F56" s="960"/>
      <c r="G56" s="960"/>
      <c r="H56" s="961"/>
      <c r="I56" s="15" t="str">
        <f>IF(AND(OR('General Information'!E32="Option A (Basic Module only)", 'General Information'!E32="Option B (Basic Module and Comprehensive Module)"),EmployeesReceivePayEqualOrAboveMinimumWageDeterminedByNationalLawOrCollectiveAgreement=""),"MISSING VALUE",IF('General Information'!E32="","","OK"))</f>
        <v>OK</v>
      </c>
    </row>
    <row r="57" spans="1:9" ht="15">
      <c r="A57" s="304" t="s">
        <v>4614</v>
      </c>
      <c r="B57" s="303" t="s">
        <v>4617</v>
      </c>
      <c r="C57" s="238" t="str">
        <f>"Average gross hourly pay level of male employees (amount in "&amp;template_currency&amp;") - If applicable"</f>
        <v>Average gross hourly pay level of male employees (amount in EUR) - If applicable</v>
      </c>
      <c r="D57" s="933"/>
      <c r="E57" s="934"/>
      <c r="F57" s="934"/>
      <c r="G57" s="934"/>
      <c r="H57" s="935"/>
      <c r="I57" s="15" t="str">
        <f>IF(AND('General Information'!$E$62&lt;150, D57=""),"", IF(AND('General Information'!$E$62&lt;150, D57&lt;&gt;""),"OK", IF(AND('General Information'!$E$62&gt;=150, D57&lt;&gt;""),"OK", "MISSING VALUE")))</f>
        <v/>
      </c>
    </row>
    <row r="58" spans="1:9" ht="26.45" customHeight="1">
      <c r="A58" s="304" t="s">
        <v>4614</v>
      </c>
      <c r="B58" s="303" t="s">
        <v>4617</v>
      </c>
      <c r="C58" s="177" t="str">
        <f>"Average gross hourly pay level of female employees (amount in " &amp; template_currency &amp; ") - If applicable"</f>
        <v>Average gross hourly pay level of female employees (amount in EUR) - If applicable</v>
      </c>
      <c r="D58" s="936"/>
      <c r="E58" s="937"/>
      <c r="F58" s="937"/>
      <c r="G58" s="937"/>
      <c r="H58" s="938"/>
      <c r="I58" s="15" t="str">
        <f>IF(AND('General Information'!$E$62&lt;150, D58=""),"", IF(AND('General Information'!$E$62&lt;150, D58&lt;&gt;""),"OK", IF(AND('General Information'!$E$62&gt;=150, D58&lt;&gt;""),"OK", "MISSING VALUE")))</f>
        <v/>
      </c>
    </row>
    <row r="59" spans="1:9" ht="30.75" thickBot="1">
      <c r="A59" s="304" t="s">
        <v>4614</v>
      </c>
      <c r="B59" s="303" t="s">
        <v>4617</v>
      </c>
      <c r="C59" s="178" t="s">
        <v>4317</v>
      </c>
      <c r="D59" s="939" t="str">
        <f>IF(AND(D57&lt;&gt;"",D58&lt;&gt;""),((D57-D58)/D57),"-")</f>
        <v>-</v>
      </c>
      <c r="E59" s="940"/>
      <c r="F59" s="940"/>
      <c r="G59" s="940"/>
      <c r="H59" s="941"/>
    </row>
    <row r="60" spans="1:9" ht="15">
      <c r="A60" s="946" t="s">
        <v>4615</v>
      </c>
      <c r="B60" s="948" t="s">
        <v>4618</v>
      </c>
      <c r="C60" s="236" t="s">
        <v>3376</v>
      </c>
      <c r="D60" s="949">
        <v>0</v>
      </c>
      <c r="E60" s="950"/>
      <c r="F60" s="950"/>
      <c r="G60" s="950"/>
      <c r="H60" s="951"/>
      <c r="I60" s="15" t="str">
        <f>IF(AND(OR('General Information'!E32="Option A (Basic Module only)", 'General Information'!E32="Option B (Basic Module and Comprehensive Module)"),D60=""),"MISSING VALUE",IF('General Information'!E32="","","OK"))</f>
        <v>OK</v>
      </c>
    </row>
    <row r="61" spans="1:9" ht="15.75" thickBot="1">
      <c r="A61" s="947"/>
      <c r="B61" s="710"/>
      <c r="C61" s="178" t="s">
        <v>3838</v>
      </c>
      <c r="D61" s="952">
        <f>IF(D60&lt;&gt;"", IF('General Information'!E62=0, "-", D60/'General Information'!E62), "-")</f>
        <v>0</v>
      </c>
      <c r="E61" s="953"/>
      <c r="F61" s="953"/>
      <c r="G61" s="953"/>
      <c r="H61" s="954"/>
    </row>
    <row r="62" spans="1:9" ht="15" thickBot="1"/>
    <row r="63" spans="1:9" ht="15">
      <c r="C63" s="955" t="str">
        <f xml:space="preserve"> "B10 – Workforce – Remuneration, collective bargaining and training " &amp; template_reporting_period_display &amp; " [Always to be reported]"</f>
        <v>B10 – Workforce – Remuneration, collective bargaining and training from 2024-01-01 to 2024-12-31 [Always to be reported]</v>
      </c>
      <c r="D63" s="956"/>
      <c r="E63" s="956"/>
      <c r="F63" s="956"/>
      <c r="G63" s="956"/>
      <c r="H63" s="957"/>
    </row>
    <row r="64" spans="1:9">
      <c r="C64" s="515" t="s">
        <v>4619</v>
      </c>
      <c r="D64" s="516"/>
      <c r="E64" s="516"/>
      <c r="F64" s="516"/>
      <c r="G64" s="516"/>
      <c r="H64" s="517"/>
    </row>
    <row r="65" spans="1:9" ht="15">
      <c r="C65" s="179" t="s">
        <v>36</v>
      </c>
      <c r="D65" s="942" t="s">
        <v>4316</v>
      </c>
      <c r="E65" s="942"/>
      <c r="F65" s="942"/>
      <c r="G65" s="942"/>
      <c r="H65" s="943"/>
      <c r="I65" s="15"/>
    </row>
    <row r="66" spans="1:9">
      <c r="C66" s="174" t="s">
        <v>37</v>
      </c>
      <c r="D66" s="944">
        <v>12.22</v>
      </c>
      <c r="E66" s="944"/>
      <c r="F66" s="944"/>
      <c r="G66" s="944"/>
      <c r="H66" s="945"/>
      <c r="I66" s="896" t="str">
        <f>IF(OR('General Information'!E32="Option A (Basic Module only)", 'General Information'!E32="Option B (Basic Module and Comprehensive Module)"), IF(OR(D66&lt;&gt;"", D67&lt;&gt;"", D68&lt;&gt;"", D69&lt;&gt;""), "OK", "MISSING VALUE"), "")</f>
        <v>OK</v>
      </c>
    </row>
    <row r="67" spans="1:9">
      <c r="C67" s="174" t="s">
        <v>38</v>
      </c>
      <c r="D67" s="944">
        <v>15.11</v>
      </c>
      <c r="E67" s="944"/>
      <c r="F67" s="944"/>
      <c r="G67" s="944"/>
      <c r="H67" s="945"/>
      <c r="I67" s="896"/>
    </row>
    <row r="68" spans="1:9">
      <c r="C68" s="174" t="s">
        <v>39</v>
      </c>
      <c r="D68" s="944">
        <v>0</v>
      </c>
      <c r="E68" s="944"/>
      <c r="F68" s="944"/>
      <c r="G68" s="944"/>
      <c r="H68" s="945"/>
      <c r="I68" s="896"/>
    </row>
    <row r="69" spans="1:9">
      <c r="C69" s="174" t="s">
        <v>40</v>
      </c>
      <c r="D69" s="944">
        <v>0</v>
      </c>
      <c r="E69" s="944"/>
      <c r="F69" s="944"/>
      <c r="G69" s="944"/>
      <c r="H69" s="945"/>
      <c r="I69" s="896"/>
    </row>
    <row r="70" spans="1:9" ht="15">
      <c r="C70" s="924" t="s">
        <v>3639</v>
      </c>
      <c r="D70" s="925"/>
      <c r="E70" s="925"/>
      <c r="F70" s="925"/>
      <c r="G70" s="925"/>
      <c r="H70" s="926"/>
      <c r="I70" s="15"/>
    </row>
    <row r="71" spans="1:9" ht="15.75" thickBot="1">
      <c r="C71" s="927">
        <f>IFERROR(
    IF(
        AND(D18&lt;&gt;"",D18&lt;&gt;0,D19&lt;&gt;"",D19&lt;&gt;0,D20&lt;&gt;"",D20&lt;&gt;0,D21&lt;&gt;"",D21&lt;&gt;0),
        AVERAGE(D66:D69),
        IF(OR(D18="", D18=0), AVERAGE(D67:D69),
        IF(OR(D19="", D19=0), AVERAGE(D66,D68,D69),
        IF(OR(D20="", D20=0), AVERAGE(D66,D67,D69),
        IF(OR(D21="", D21=0), AVERAGE(D66,D67,D68), "-"))))
    ),
"-")</f>
        <v>9.11</v>
      </c>
      <c r="D71" s="928"/>
      <c r="E71" s="928"/>
      <c r="F71" s="928"/>
      <c r="G71" s="928"/>
      <c r="H71" s="929"/>
      <c r="I71" s="15"/>
    </row>
    <row r="72" spans="1:9" ht="15" thickBot="1"/>
    <row r="73" spans="1:9" ht="15.75" thickBot="1">
      <c r="C73" s="930" t="str">
        <f xml:space="preserve"> "C5 – Additional (general) workforce characteristics " &amp; template_reporting_period_display &amp; " [May (optional)]"</f>
        <v>C5 – Additional (general) workforce characteristics from 2024-01-01 to 2024-12-31 [May (optional)]</v>
      </c>
      <c r="D73" s="931"/>
      <c r="E73" s="931"/>
      <c r="F73" s="931"/>
      <c r="G73" s="931"/>
      <c r="H73" s="932"/>
    </row>
    <row r="74" spans="1:9" ht="15">
      <c r="A74" s="304">
        <v>59</v>
      </c>
      <c r="B74" s="302" t="s">
        <v>4620</v>
      </c>
      <c r="C74" s="180" t="s">
        <v>3829</v>
      </c>
      <c r="D74" s="933"/>
      <c r="E74" s="934"/>
      <c r="F74" s="934"/>
      <c r="G74" s="934"/>
      <c r="H74" s="935"/>
      <c r="I74" s="15" t="str">
        <f>IF(D74&lt;&gt;"", "OK", "")</f>
        <v/>
      </c>
    </row>
    <row r="75" spans="1:9" ht="15">
      <c r="A75" s="304">
        <v>59</v>
      </c>
      <c r="B75" s="302" t="s">
        <v>4620</v>
      </c>
      <c r="C75" s="181" t="s">
        <v>3377</v>
      </c>
      <c r="D75" s="936"/>
      <c r="E75" s="937"/>
      <c r="F75" s="937"/>
      <c r="G75" s="937"/>
      <c r="H75" s="938"/>
      <c r="I75" s="15" t="str">
        <f t="shared" ref="I75:I78" si="1">IF(D75&lt;&gt;"", "OK", "")</f>
        <v/>
      </c>
    </row>
    <row r="76" spans="1:9" ht="15.75" thickBot="1">
      <c r="A76" s="304">
        <v>59</v>
      </c>
      <c r="B76" s="302" t="s">
        <v>4620</v>
      </c>
      <c r="C76" s="178" t="s">
        <v>3635</v>
      </c>
      <c r="D76" s="939" t="str">
        <f>IF(AND(D74&lt;&gt;"",D75&lt;&gt;""),$D$75/$D$74,"-")</f>
        <v>-</v>
      </c>
      <c r="E76" s="940"/>
      <c r="F76" s="940"/>
      <c r="G76" s="940"/>
      <c r="H76" s="941"/>
    </row>
    <row r="77" spans="1:9" ht="28.5">
      <c r="A77" s="293">
        <v>60</v>
      </c>
      <c r="B77" s="298" t="s">
        <v>4621</v>
      </c>
      <c r="C77" s="182" t="s">
        <v>3782</v>
      </c>
      <c r="D77" s="915"/>
      <c r="E77" s="916"/>
      <c r="F77" s="916"/>
      <c r="G77" s="916"/>
      <c r="H77" s="917"/>
      <c r="I77" s="15" t="str">
        <f t="shared" si="1"/>
        <v/>
      </c>
    </row>
    <row r="78" spans="1:9" ht="29.25" thickBot="1">
      <c r="A78" s="293">
        <v>60</v>
      </c>
      <c r="B78" s="301" t="s">
        <v>4621</v>
      </c>
      <c r="C78" s="183" t="s">
        <v>46</v>
      </c>
      <c r="D78" s="918"/>
      <c r="E78" s="919"/>
      <c r="F78" s="919"/>
      <c r="G78" s="919"/>
      <c r="H78" s="920"/>
      <c r="I78" s="15" t="str">
        <f t="shared" si="1"/>
        <v/>
      </c>
    </row>
    <row r="79" spans="1:9" ht="15" thickBot="1"/>
    <row r="80" spans="1:9" ht="15">
      <c r="C80" s="906" t="str">
        <f xml:space="preserve"> "C6 – Additional own workforce information - Human rights policies and processes " &amp; template_reporting_period_display &amp; " [Always to be reported]"</f>
        <v>C6 – Additional own workforce information - Human rights policies and processes from 2024-01-01 to 2024-12-31 [Always to be reported]</v>
      </c>
      <c r="D80" s="907"/>
      <c r="E80" s="907"/>
      <c r="F80" s="907"/>
      <c r="G80" s="907"/>
      <c r="H80" s="908"/>
    </row>
    <row r="81" spans="1:9" ht="28.5">
      <c r="A81" s="293" t="s">
        <v>4622</v>
      </c>
      <c r="B81" s="298">
        <v>237</v>
      </c>
      <c r="C81" s="184" t="s">
        <v>48</v>
      </c>
      <c r="D81" s="921"/>
      <c r="E81" s="922"/>
      <c r="F81" s="922"/>
      <c r="G81" s="922"/>
      <c r="H81" s="923"/>
      <c r="I81" s="15" t="str">
        <f>IF(AND('General Information'!$E$32="Option B (Basic Module and Comprehensive Module)",D81&lt;&gt;""),"OK",IF(AND('General Information'!$E$32="Option B (Basic Module and Comprehensive Module)",D81=""),"MISSING VALUE",IF(AND('General Information'!$E$32="Option A (Basic Module only)",D81&lt;&gt;""),"OK","")))</f>
        <v/>
      </c>
    </row>
    <row r="82" spans="1:9">
      <c r="A82" s="294" t="s">
        <v>4623</v>
      </c>
      <c r="B82" s="298">
        <v>237</v>
      </c>
      <c r="C82" s="147" t="s">
        <v>49</v>
      </c>
      <c r="D82" s="909"/>
      <c r="E82" s="910"/>
      <c r="F82" s="910"/>
      <c r="G82" s="910"/>
      <c r="H82" s="911"/>
    </row>
    <row r="83" spans="1:9">
      <c r="A83" s="294" t="s">
        <v>4623</v>
      </c>
      <c r="B83" s="298">
        <v>237</v>
      </c>
      <c r="C83" s="185" t="s">
        <v>3371</v>
      </c>
      <c r="D83" s="912" t="b">
        <v>0</v>
      </c>
      <c r="E83" s="912"/>
      <c r="F83" s="912"/>
      <c r="G83" s="912"/>
      <c r="H83" s="913"/>
      <c r="I83" s="896" t="str" cm="1">
        <f t="array" ref="I83">IF(AND(OR(D83=TRUE,D84=TRUE,D85=TRUE,D86=TRUE,D87=TRUE,D88=TRUE),D81="YES"),"OK",
IF(AND(D83=FALSE,D84=FALSE,D85=FALSE,D86=FALSE,D87=FALSE,D88=FALSE,D81="YES"),"MISSING VALUE",
IF(AND(D83=FALSE,D84=FALSE,D85=FALSE,D86=FALSE,D87=FALSE,D88=FALSE,D81="NO"),"",
IF(AND(D83=FALSE,D84=FALSE,D85=FALSE,D86=FALSE,D87=FALSE,D88=FALSE,D81=""),"",IF(AND(OR(D83:D88=TRUE),D81=""),"",
"VALUE INCONSISTENCY")))))</f>
        <v/>
      </c>
    </row>
    <row r="84" spans="1:9">
      <c r="A84" s="294" t="s">
        <v>4623</v>
      </c>
      <c r="B84" s="298">
        <v>237</v>
      </c>
      <c r="C84" s="185" t="s">
        <v>3372</v>
      </c>
      <c r="D84" s="912" t="b">
        <v>0</v>
      </c>
      <c r="E84" s="912"/>
      <c r="F84" s="912"/>
      <c r="G84" s="912"/>
      <c r="H84" s="913"/>
      <c r="I84" s="896"/>
    </row>
    <row r="85" spans="1:9">
      <c r="A85" s="294" t="s">
        <v>4623</v>
      </c>
      <c r="B85" s="298">
        <v>237</v>
      </c>
      <c r="C85" s="185" t="s">
        <v>3373</v>
      </c>
      <c r="D85" s="912" t="b">
        <v>0</v>
      </c>
      <c r="E85" s="912"/>
      <c r="F85" s="912"/>
      <c r="G85" s="912"/>
      <c r="H85" s="913"/>
      <c r="I85" s="896"/>
    </row>
    <row r="86" spans="1:9">
      <c r="A86" s="294" t="s">
        <v>4623</v>
      </c>
      <c r="B86" s="298">
        <v>237</v>
      </c>
      <c r="C86" s="185" t="s">
        <v>3374</v>
      </c>
      <c r="D86" s="912" t="b">
        <v>0</v>
      </c>
      <c r="E86" s="912"/>
      <c r="F86" s="912"/>
      <c r="G86" s="912"/>
      <c r="H86" s="913"/>
      <c r="I86" s="896"/>
    </row>
    <row r="87" spans="1:9">
      <c r="A87" s="294" t="s">
        <v>4623</v>
      </c>
      <c r="B87" s="298">
        <v>237</v>
      </c>
      <c r="C87" s="186" t="s">
        <v>3375</v>
      </c>
      <c r="D87" s="914" t="b">
        <v>0</v>
      </c>
      <c r="E87" s="912"/>
      <c r="F87" s="912"/>
      <c r="G87" s="912"/>
      <c r="H87" s="913"/>
      <c r="I87" s="896"/>
    </row>
    <row r="88" spans="1:9">
      <c r="A88" s="294" t="s">
        <v>4623</v>
      </c>
      <c r="B88" s="298">
        <v>237</v>
      </c>
      <c r="C88" s="187" t="s">
        <v>3850</v>
      </c>
      <c r="D88" s="912" t="b">
        <v>0</v>
      </c>
      <c r="E88" s="912"/>
      <c r="F88" s="912"/>
      <c r="G88" s="912"/>
      <c r="H88" s="913"/>
      <c r="I88" s="896"/>
    </row>
    <row r="89" spans="1:9" ht="33.6" customHeight="1">
      <c r="A89" s="294" t="s">
        <v>4623</v>
      </c>
      <c r="B89" s="298">
        <v>237</v>
      </c>
      <c r="C89" s="119" t="s">
        <v>3851</v>
      </c>
      <c r="D89" s="901"/>
      <c r="E89" s="901"/>
      <c r="F89" s="901"/>
      <c r="G89" s="901"/>
      <c r="H89" s="902"/>
      <c r="I89" s="15" t="str">
        <f>IF(AND(D88=TRUE,D89&lt;&gt;""),"OK",IF(AND(D88=TRUE,D89=""),"MISSING VALUE",IF(AND(D88=FALSE,D89&lt;&gt;""),"MISSING VALUE","")))</f>
        <v/>
      </c>
    </row>
    <row r="90" spans="1:9" ht="31.15" customHeight="1" thickBot="1">
      <c r="A90" s="295" t="s">
        <v>4624</v>
      </c>
      <c r="B90" s="301">
        <v>237</v>
      </c>
      <c r="C90" s="188" t="s">
        <v>3743</v>
      </c>
      <c r="D90" s="903"/>
      <c r="E90" s="904"/>
      <c r="F90" s="904"/>
      <c r="G90" s="904"/>
      <c r="H90" s="905"/>
      <c r="I90" s="15" t="str">
        <f>IF(AND('General Information'!$E$32="Option B (Basic Module and Comprehensive Module)",D90&lt;&gt;""),"OK",IF(AND('General Information'!$E$32="Option B (Basic Module and Comprehensive Module)",D90=""),"MISSING VALUE",IF(AND('General Information'!$E$32="Option A (Basic Module only)",D90&lt;&gt;""),"OK","")))</f>
        <v/>
      </c>
    </row>
    <row r="91" spans="1:9" ht="15" thickBot="1"/>
    <row r="92" spans="1:9" ht="15">
      <c r="C92" s="906" t="str">
        <f xml:space="preserve"> "C7 – Severe negative human rights incidents " &amp; template_reporting_period_display &amp; " [Always to be reported]"</f>
        <v>C7 – Severe negative human rights incidents from 2024-01-01 to 2024-12-31 [Always to be reported]</v>
      </c>
      <c r="D92" s="907"/>
      <c r="E92" s="907"/>
      <c r="F92" s="907"/>
      <c r="G92" s="907"/>
      <c r="H92" s="908"/>
    </row>
    <row r="93" spans="1:9" ht="15">
      <c r="A93" s="293">
        <v>62</v>
      </c>
      <c r="B93" s="298">
        <v>238</v>
      </c>
      <c r="C93" s="189" t="s">
        <v>3741</v>
      </c>
      <c r="D93" s="651"/>
      <c r="E93" s="651"/>
      <c r="F93" s="651"/>
      <c r="G93" s="651"/>
      <c r="H93" s="892"/>
      <c r="I93" s="15" t="str">
        <f>IF(AND('General Information'!$E$32="Option B (Basic Module and Comprehensive Module)",D93&lt;&gt;""),"OK",IF(AND('General Information'!$E$32="Option B (Basic Module and Comprehensive Module)",D93=""),"MISSING VALUE",IF(AND('General Information'!$E$32="Option A (Basic Module only)",D93&lt;&gt;""),"OK","")))</f>
        <v/>
      </c>
    </row>
    <row r="94" spans="1:9">
      <c r="A94" s="293" t="s">
        <v>4625</v>
      </c>
      <c r="B94" s="298">
        <v>238</v>
      </c>
      <c r="C94" s="189" t="s">
        <v>3740</v>
      </c>
      <c r="D94" s="909"/>
      <c r="E94" s="910"/>
      <c r="F94" s="910"/>
      <c r="G94" s="910"/>
      <c r="H94" s="911"/>
    </row>
    <row r="95" spans="1:9">
      <c r="A95" s="293" t="s">
        <v>4625</v>
      </c>
      <c r="B95" s="298">
        <v>238</v>
      </c>
      <c r="C95" s="187" t="s">
        <v>3371</v>
      </c>
      <c r="D95" s="897" t="b">
        <v>0</v>
      </c>
      <c r="E95" s="897"/>
      <c r="F95" s="897"/>
      <c r="G95" s="897"/>
      <c r="H95" s="898"/>
      <c r="I95" s="896" t="str" cm="1">
        <f t="array" ref="I95">IF(AND(OR(D95=TRUE,D96=TRUE,D97=TRUE,D98=TRUE,D99=TRUE),D93="YES"),"OK",
IF(AND(D95=FALSE,D96=FALSE,D97=FALSE,D98=FALSE,D99=FALSE,D93="YES"),"MISSING VALUE",IF(AND(D95=FALSE,D96=FALSE,D97=FALSE,D98=FALSE,D99=FALSE,D93=""),"",
IF(AND(D95=FALSE,D96=FALSE,D97=FALSE,D98=FALSE,D99=FALSE,D93="NO"),"",IF(AND(OR(D95:D99=TRUE),D93=""),"",
"VALUE INCONSISTENCY")))))</f>
        <v/>
      </c>
    </row>
    <row r="96" spans="1:9">
      <c r="A96" s="293" t="s">
        <v>4625</v>
      </c>
      <c r="B96" s="298">
        <v>238</v>
      </c>
      <c r="C96" s="187" t="s">
        <v>3372</v>
      </c>
      <c r="D96" s="897" t="b">
        <v>0</v>
      </c>
      <c r="E96" s="897"/>
      <c r="F96" s="897"/>
      <c r="G96" s="897"/>
      <c r="H96" s="898"/>
      <c r="I96" s="896"/>
    </row>
    <row r="97" spans="1:9">
      <c r="A97" s="293" t="s">
        <v>4625</v>
      </c>
      <c r="B97" s="298">
        <v>238</v>
      </c>
      <c r="C97" s="187" t="s">
        <v>3373</v>
      </c>
      <c r="D97" s="897" t="b">
        <v>0</v>
      </c>
      <c r="E97" s="897"/>
      <c r="F97" s="897"/>
      <c r="G97" s="897"/>
      <c r="H97" s="898"/>
      <c r="I97" s="896"/>
    </row>
    <row r="98" spans="1:9">
      <c r="A98" s="293" t="s">
        <v>4625</v>
      </c>
      <c r="B98" s="298">
        <v>238</v>
      </c>
      <c r="C98" s="187" t="s">
        <v>3374</v>
      </c>
      <c r="D98" s="897" t="b">
        <v>0</v>
      </c>
      <c r="E98" s="897"/>
      <c r="F98" s="897"/>
      <c r="G98" s="897"/>
      <c r="H98" s="898"/>
      <c r="I98" s="896"/>
    </row>
    <row r="99" spans="1:9">
      <c r="A99" s="293" t="s">
        <v>4625</v>
      </c>
      <c r="B99" s="298">
        <v>238</v>
      </c>
      <c r="C99" s="187" t="s">
        <v>3850</v>
      </c>
      <c r="D99" s="897" t="b">
        <v>0</v>
      </c>
      <c r="E99" s="897"/>
      <c r="F99" s="897"/>
      <c r="G99" s="897"/>
      <c r="H99" s="898"/>
      <c r="I99" s="896"/>
    </row>
    <row r="100" spans="1:9" ht="15">
      <c r="A100" s="293" t="s">
        <v>4625</v>
      </c>
      <c r="B100" s="298">
        <v>238</v>
      </c>
      <c r="C100" s="119" t="s">
        <v>4299</v>
      </c>
      <c r="D100" s="899"/>
      <c r="E100" s="899"/>
      <c r="F100" s="899"/>
      <c r="G100" s="899"/>
      <c r="H100" s="900"/>
      <c r="I100" s="15" t="str">
        <f>IF(AND(D99=TRUE,D100&lt;&gt;""),"OK",IF(AND(D99=TRUE,D100=""),"MISSING VALUE",IF(AND(D99=FALSE,D100&lt;&gt;""),"MISSING VALUE","")))</f>
        <v/>
      </c>
    </row>
    <row r="101" spans="1:9" ht="15">
      <c r="A101" s="305" t="s">
        <v>4626</v>
      </c>
      <c r="B101" s="298">
        <v>238</v>
      </c>
      <c r="C101" s="119" t="s">
        <v>4298</v>
      </c>
      <c r="D101" s="889"/>
      <c r="E101" s="890"/>
      <c r="F101" s="890"/>
      <c r="G101" s="890"/>
      <c r="H101" s="891"/>
      <c r="I101" s="15" t="str">
        <f>IF(D101&lt;&gt;"","OK","")</f>
        <v/>
      </c>
    </row>
    <row r="102" spans="1:9" ht="28.5">
      <c r="A102" s="293" t="s">
        <v>4562</v>
      </c>
      <c r="B102" s="298">
        <v>238</v>
      </c>
      <c r="C102" s="147" t="s">
        <v>3629</v>
      </c>
      <c r="D102" s="651"/>
      <c r="E102" s="651"/>
      <c r="F102" s="651"/>
      <c r="G102" s="651"/>
      <c r="H102" s="892"/>
      <c r="I102" s="15" t="str">
        <f>IF(AND('General Information'!$E$32="Option B (Basic Module and Comprehensive Module)",D102&lt;&gt;""),"OK",IF(AND('General Information'!$E$32="Option B (Basic Module and Comprehensive Module)",D102=""),"MISSING VALUE",IF(AND('General Information'!$E$32="Option A (Basic Module only)",D102&lt;&gt;""),"OK","")))</f>
        <v/>
      </c>
    </row>
    <row r="103" spans="1:9" ht="29.25" thickBot="1">
      <c r="A103" s="293" t="s">
        <v>4562</v>
      </c>
      <c r="B103" s="301">
        <v>238</v>
      </c>
      <c r="C103" s="282" t="s">
        <v>3858</v>
      </c>
      <c r="D103" s="893"/>
      <c r="E103" s="893"/>
      <c r="F103" s="893"/>
      <c r="G103" s="893"/>
      <c r="H103" s="894"/>
      <c r="I103" s="15" t="str">
        <f>IF(AND(D102="YES",D103&lt;&gt;""),"OK",IF(AND(D102="YES",D103=""),"MISSING VALUE",IF(AND(D102="NO",D103&lt;&gt;""),"MISSING VALUE","")))</f>
        <v/>
      </c>
    </row>
    <row r="106" spans="1:9" ht="15" thickBot="1"/>
    <row r="107" spans="1:9" ht="15">
      <c r="C107" s="578" t="str">
        <f>+ "Disclosure of any other social and/or entity specific social disclosures " &amp; template_reporting_period_display &amp; " [May (optional)] "</f>
        <v xml:space="preserve">Disclosure of any other social and/or entity specific social disclosures from 2024-01-01 to 2024-12-31 [May (optional)] </v>
      </c>
      <c r="D107" s="579"/>
      <c r="E107" s="579"/>
      <c r="F107" s="579"/>
      <c r="G107" s="579"/>
      <c r="H107" s="580"/>
    </row>
    <row r="108" spans="1:9">
      <c r="C108" s="838">
        <v>10</v>
      </c>
      <c r="D108" s="576"/>
      <c r="E108" s="576"/>
      <c r="F108" s="576"/>
      <c r="G108" s="576"/>
      <c r="H108" s="577"/>
    </row>
    <row r="109" spans="1:9" ht="15.75" thickBot="1">
      <c r="C109" s="572"/>
      <c r="D109" s="573"/>
      <c r="E109" s="573"/>
      <c r="F109" s="573"/>
      <c r="G109" s="573"/>
      <c r="H109" s="895"/>
      <c r="I109" s="15" t="str">
        <f>IF(C109&lt;&gt;"", "OK", "")</f>
        <v/>
      </c>
    </row>
  </sheetData>
  <sheetProtection algorithmName="SHA-512" hashValue="1U1xgJCWCLmuEerzlIMfS74ham0ZH2KnZJglHpj2zRh9VNIqpjzc2/D+x1CWlcjCgvSADHyj3YhgUub/vYMcHA==" saltValue="XPCAo0kIk6dc0M0ACye2bQ==" spinCount="100000" sheet="1" formatColumns="0" formatRows="0" insertRows="0"/>
  <mergeCells count="114">
    <mergeCell ref="C2:E2"/>
    <mergeCell ref="F2:H2"/>
    <mergeCell ref="C3:E3"/>
    <mergeCell ref="F3:H3"/>
    <mergeCell ref="C6:G6"/>
    <mergeCell ref="C7:G7"/>
    <mergeCell ref="C15:G15"/>
    <mergeCell ref="C16:G16"/>
    <mergeCell ref="D17:G17"/>
    <mergeCell ref="D18:G18"/>
    <mergeCell ref="H18:H21"/>
    <mergeCell ref="D19:G19"/>
    <mergeCell ref="D20:G20"/>
    <mergeCell ref="D21:G21"/>
    <mergeCell ref="C8:G8"/>
    <mergeCell ref="D9:G9"/>
    <mergeCell ref="D10:G10"/>
    <mergeCell ref="D11:G11"/>
    <mergeCell ref="D12:G12"/>
    <mergeCell ref="C14:G14"/>
    <mergeCell ref="C28:D28"/>
    <mergeCell ref="E28:H28"/>
    <mergeCell ref="C29:D29"/>
    <mergeCell ref="E29:H29"/>
    <mergeCell ref="C30:D30"/>
    <mergeCell ref="E30:H30"/>
    <mergeCell ref="D22:G22"/>
    <mergeCell ref="C24:H24"/>
    <mergeCell ref="C25:H25"/>
    <mergeCell ref="C26:H26"/>
    <mergeCell ref="C27:D27"/>
    <mergeCell ref="E27:H27"/>
    <mergeCell ref="C34:D34"/>
    <mergeCell ref="E34:H34"/>
    <mergeCell ref="C35:D35"/>
    <mergeCell ref="E35:H35"/>
    <mergeCell ref="C36:D36"/>
    <mergeCell ref="E36:H36"/>
    <mergeCell ref="C31:D31"/>
    <mergeCell ref="E31:H31"/>
    <mergeCell ref="C32:D32"/>
    <mergeCell ref="E32:H32"/>
    <mergeCell ref="C33:D33"/>
    <mergeCell ref="E33:H33"/>
    <mergeCell ref="C42:H42"/>
    <mergeCell ref="D43:H43"/>
    <mergeCell ref="D44:H44"/>
    <mergeCell ref="D45:H45"/>
    <mergeCell ref="D46:H46"/>
    <mergeCell ref="C37:D37"/>
    <mergeCell ref="E37:H37"/>
    <mergeCell ref="C38:D38"/>
    <mergeCell ref="E38:H38"/>
    <mergeCell ref="C40:H40"/>
    <mergeCell ref="C41:H41"/>
    <mergeCell ref="D53:H53"/>
    <mergeCell ref="C55:H55"/>
    <mergeCell ref="D56:H56"/>
    <mergeCell ref="D57:H57"/>
    <mergeCell ref="D58:H58"/>
    <mergeCell ref="D59:H59"/>
    <mergeCell ref="C48:H48"/>
    <mergeCell ref="D49:H49"/>
    <mergeCell ref="D50:H50"/>
    <mergeCell ref="D51:H51"/>
    <mergeCell ref="D52:H52"/>
    <mergeCell ref="D65:H65"/>
    <mergeCell ref="D66:H66"/>
    <mergeCell ref="I66:I69"/>
    <mergeCell ref="D67:H67"/>
    <mergeCell ref="D68:H68"/>
    <mergeCell ref="D69:H69"/>
    <mergeCell ref="A60:A61"/>
    <mergeCell ref="B60:B61"/>
    <mergeCell ref="D60:H60"/>
    <mergeCell ref="D61:H61"/>
    <mergeCell ref="C63:H63"/>
    <mergeCell ref="C64:H64"/>
    <mergeCell ref="D77:H77"/>
    <mergeCell ref="D78:H78"/>
    <mergeCell ref="C80:H80"/>
    <mergeCell ref="D81:H81"/>
    <mergeCell ref="D82:H82"/>
    <mergeCell ref="D83:H83"/>
    <mergeCell ref="C70:H70"/>
    <mergeCell ref="C71:H71"/>
    <mergeCell ref="C73:H73"/>
    <mergeCell ref="D74:H74"/>
    <mergeCell ref="D75:H75"/>
    <mergeCell ref="D76:H76"/>
    <mergeCell ref="D89:H89"/>
    <mergeCell ref="D90:H90"/>
    <mergeCell ref="C92:H92"/>
    <mergeCell ref="D93:H93"/>
    <mergeCell ref="D94:H94"/>
    <mergeCell ref="D95:H95"/>
    <mergeCell ref="I83:I88"/>
    <mergeCell ref="D84:H84"/>
    <mergeCell ref="D85:H85"/>
    <mergeCell ref="D86:H86"/>
    <mergeCell ref="D87:H87"/>
    <mergeCell ref="D88:H88"/>
    <mergeCell ref="D101:H101"/>
    <mergeCell ref="D102:H102"/>
    <mergeCell ref="D103:H103"/>
    <mergeCell ref="C107:H107"/>
    <mergeCell ref="C108:H108"/>
    <mergeCell ref="C109:H109"/>
    <mergeCell ref="I95:I99"/>
    <mergeCell ref="D96:H96"/>
    <mergeCell ref="D97:H97"/>
    <mergeCell ref="D98:H98"/>
    <mergeCell ref="D99:H99"/>
    <mergeCell ref="D100:H100"/>
  </mergeCells>
  <conditionalFormatting sqref="D89">
    <cfRule type="expression" dxfId="167" priority="25">
      <formula>$D$88=TRUE</formula>
    </cfRule>
  </conditionalFormatting>
  <conditionalFormatting sqref="D100:D101">
    <cfRule type="expression" dxfId="166" priority="14">
      <formula>$D$99=TRUE</formula>
    </cfRule>
  </conditionalFormatting>
  <conditionalFormatting sqref="D103">
    <cfRule type="expression" dxfId="165" priority="13">
      <formula>$D$102="YES"</formula>
    </cfRule>
  </conditionalFormatting>
  <conditionalFormatting sqref="D83:H88">
    <cfRule type="expression" dxfId="164" priority="30">
      <formula>$D$81="YES"</formula>
    </cfRule>
  </conditionalFormatting>
  <conditionalFormatting sqref="D95:H99">
    <cfRule type="expression" dxfId="163" priority="19">
      <formula>$D$93="YES"</formula>
    </cfRule>
  </conditionalFormatting>
  <conditionalFormatting sqref="D101:H101">
    <cfRule type="expression" dxfId="162" priority="6">
      <formula>$D$93="YES"</formula>
    </cfRule>
  </conditionalFormatting>
  <conditionalFormatting sqref="E28:H37">
    <cfRule type="expression" dxfId="161" priority="56">
      <formula>$C28&lt;&gt;""</formula>
    </cfRule>
  </conditionalFormatting>
  <conditionalFormatting sqref="E29:H37">
    <cfRule type="expression" dxfId="160" priority="57">
      <formula>$D29=""</formula>
    </cfRule>
  </conditionalFormatting>
  <conditionalFormatting sqref="H10:H11">
    <cfRule type="expression" dxfId="159" priority="67">
      <formula>$H10="MISSING VALUE"</formula>
    </cfRule>
    <cfRule type="expression" dxfId="158" priority="68">
      <formula>$H10="OK"</formula>
    </cfRule>
  </conditionalFormatting>
  <conditionalFormatting sqref="H12">
    <cfRule type="expression" dxfId="157" priority="69">
      <formula>$H$12="OK"</formula>
    </cfRule>
    <cfRule type="expression" dxfId="156" priority="70">
      <formula>$H$12="VALUE INCONSISTENCY"</formula>
    </cfRule>
  </conditionalFormatting>
  <conditionalFormatting sqref="H18:H21">
    <cfRule type="expression" dxfId="155" priority="62">
      <formula>$H$18="MISSING VALUE"</formula>
    </cfRule>
    <cfRule type="expression" dxfId="154" priority="63">
      <formula>$H$18="OK"</formula>
    </cfRule>
  </conditionalFormatting>
  <conditionalFormatting sqref="H22">
    <cfRule type="expression" dxfId="153" priority="64">
      <formula>$H$22="VALUE INCONSISTENCY"</formula>
    </cfRule>
    <cfRule type="expression" dxfId="152" priority="65">
      <formula>$H$22="MISSING VALUE"</formula>
    </cfRule>
    <cfRule type="expression" dxfId="151" priority="66">
      <formula>$H$22="OK"</formula>
    </cfRule>
  </conditionalFormatting>
  <conditionalFormatting sqref="I28:I37">
    <cfRule type="expression" dxfId="150" priority="1">
      <formula>$I28="VALUE INCONSISTENCY"</formula>
    </cfRule>
    <cfRule type="expression" dxfId="149" priority="60">
      <formula>$I28="OK"</formula>
    </cfRule>
    <cfRule type="expression" dxfId="148" priority="61">
      <formula>$I28="MISSING VALUE"</formula>
    </cfRule>
  </conditionalFormatting>
  <conditionalFormatting sqref="I38">
    <cfRule type="expression" dxfId="147" priority="58">
      <formula>$I$38="OK"</formula>
    </cfRule>
    <cfRule type="expression" dxfId="146" priority="59">
      <formula>$I$38="VALUE INCONSISTENCY"</formula>
    </cfRule>
  </conditionalFormatting>
  <conditionalFormatting sqref="I43:I45">
    <cfRule type="expression" dxfId="145" priority="54">
      <formula>$I43="MISSING VALUE"</formula>
    </cfRule>
    <cfRule type="expression" dxfId="144" priority="55">
      <formula>$I43="OK"</formula>
    </cfRule>
  </conditionalFormatting>
  <conditionalFormatting sqref="I49:I50">
    <cfRule type="expression" dxfId="143" priority="51">
      <formula>$I49="MISSING VALUE"</formula>
    </cfRule>
    <cfRule type="expression" dxfId="142" priority="52">
      <formula>$I49="OK"</formula>
    </cfRule>
  </conditionalFormatting>
  <conditionalFormatting sqref="I51">
    <cfRule type="expression" dxfId="141" priority="47">
      <formula>$I$51="OK"</formula>
    </cfRule>
    <cfRule type="expression" dxfId="140" priority="48">
      <formula>$I$51="MISSING VALUE"</formula>
    </cfRule>
  </conditionalFormatting>
  <conditionalFormatting sqref="I53">
    <cfRule type="expression" dxfId="139" priority="49">
      <formula>$I$53="MISSING VALUE"</formula>
    </cfRule>
    <cfRule type="expression" dxfId="138" priority="50">
      <formula>$I$53="OK"</formula>
    </cfRule>
  </conditionalFormatting>
  <conditionalFormatting sqref="I56">
    <cfRule type="expression" dxfId="137" priority="41">
      <formula>$I$56="MISSING VALUE"</formula>
    </cfRule>
    <cfRule type="expression" dxfId="136" priority="42">
      <formula>$I$56="OK"</formula>
    </cfRule>
  </conditionalFormatting>
  <conditionalFormatting sqref="I57:I58">
    <cfRule type="expression" dxfId="135" priority="45">
      <formula>$I57="OK"</formula>
    </cfRule>
    <cfRule type="expression" dxfId="134" priority="46">
      <formula>$I57="MISSING VALUE"</formula>
    </cfRule>
  </conditionalFormatting>
  <conditionalFormatting sqref="I60">
    <cfRule type="expression" dxfId="133" priority="43">
      <formula>$I$60="OK"</formula>
    </cfRule>
    <cfRule type="expression" dxfId="132" priority="44">
      <formula>$I$60="MISSING VALUE"</formula>
    </cfRule>
  </conditionalFormatting>
  <conditionalFormatting sqref="I65:I66 I70">
    <cfRule type="expression" dxfId="131" priority="38">
      <formula>$I65="OK"</formula>
    </cfRule>
    <cfRule type="expression" dxfId="130" priority="39">
      <formula>$I65="MISSING VALUE"</formula>
    </cfRule>
  </conditionalFormatting>
  <conditionalFormatting sqref="I74">
    <cfRule type="expression" dxfId="129" priority="37">
      <formula>$I$74="OK"</formula>
    </cfRule>
  </conditionalFormatting>
  <conditionalFormatting sqref="I75">
    <cfRule type="expression" dxfId="128" priority="36">
      <formula>$I$75="OK"</formula>
    </cfRule>
  </conditionalFormatting>
  <conditionalFormatting sqref="I77">
    <cfRule type="expression" dxfId="127" priority="35">
      <formula>$I$77="OK"</formula>
    </cfRule>
  </conditionalFormatting>
  <conditionalFormatting sqref="I78">
    <cfRule type="expression" dxfId="126" priority="34">
      <formula>$I$78="OK"</formula>
    </cfRule>
  </conditionalFormatting>
  <conditionalFormatting sqref="I81">
    <cfRule type="expression" dxfId="125" priority="26">
      <formula>$I$81="MISSING VALUE"</formula>
    </cfRule>
    <cfRule type="expression" dxfId="124" priority="27">
      <formula>$I$81="OK"</formula>
    </cfRule>
  </conditionalFormatting>
  <conditionalFormatting sqref="I83:I88">
    <cfRule type="expression" dxfId="123" priority="3">
      <formula>$I$83="VALUE INCONSISTENCY"</formula>
    </cfRule>
    <cfRule type="expression" dxfId="122" priority="21">
      <formula>$I$83="MISSING VALUE"</formula>
    </cfRule>
    <cfRule type="expression" dxfId="121" priority="22">
      <formula>$I$83="OK"</formula>
    </cfRule>
  </conditionalFormatting>
  <conditionalFormatting sqref="I89">
    <cfRule type="expression" dxfId="120" priority="28">
      <formula>$I$89="OK"</formula>
    </cfRule>
    <cfRule type="expression" dxfId="119" priority="29">
      <formula>$I$89="MISSING VALUE"</formula>
    </cfRule>
  </conditionalFormatting>
  <conditionalFormatting sqref="I90">
    <cfRule type="expression" dxfId="118" priority="23">
      <formula>$I$90="MISSING VALUE"</formula>
    </cfRule>
    <cfRule type="expression" dxfId="117" priority="24">
      <formula>$I$90="OK"</formula>
    </cfRule>
  </conditionalFormatting>
  <conditionalFormatting sqref="I93">
    <cfRule type="expression" dxfId="116" priority="11">
      <formula>$I$93="OK"</formula>
    </cfRule>
    <cfRule type="expression" dxfId="115" priority="12">
      <formula>$I$93="MISSING VALUE"</formula>
    </cfRule>
  </conditionalFormatting>
  <conditionalFormatting sqref="I95:I99">
    <cfRule type="expression" dxfId="114" priority="2">
      <formula>$I$95="VALUE INCONSISTENCY"</formula>
    </cfRule>
    <cfRule type="expression" dxfId="113" priority="9">
      <formula>$I$95="OK"</formula>
    </cfRule>
    <cfRule type="expression" dxfId="112" priority="10">
      <formula>$I$95="MISSING VALUE"</formula>
    </cfRule>
  </conditionalFormatting>
  <conditionalFormatting sqref="I100">
    <cfRule type="expression" dxfId="111" priority="17">
      <formula>$I$100="OK"</formula>
    </cfRule>
    <cfRule type="expression" dxfId="110" priority="18">
      <formula>$I$100="MISSING VALUE"</formula>
    </cfRule>
  </conditionalFormatting>
  <conditionalFormatting sqref="I101">
    <cfRule type="expression" dxfId="109" priority="5">
      <formula>$I$101="OK"</formula>
    </cfRule>
  </conditionalFormatting>
  <conditionalFormatting sqref="I102">
    <cfRule type="expression" dxfId="108" priority="7">
      <formula>$I$102="MISSING VALUE"</formula>
    </cfRule>
    <cfRule type="expression" dxfId="107" priority="8">
      <formula>$I$102="OK"</formula>
    </cfRule>
  </conditionalFormatting>
  <conditionalFormatting sqref="I103">
    <cfRule type="expression" dxfId="106" priority="15">
      <formula>$I$103="MISSING VALUE"</formula>
    </cfRule>
    <cfRule type="expression" dxfId="105" priority="16">
      <formula>$I$103="OK"</formula>
    </cfRule>
  </conditionalFormatting>
  <conditionalFormatting sqref="I109">
    <cfRule type="expression" dxfId="104" priority="4">
      <formula>$I$109="OK"</formula>
    </cfRule>
  </conditionalFormatting>
  <dataValidations count="33">
    <dataValidation type="custom" operator="lessThanOrEqual" allowBlank="1" showInputMessage="1" showErrorMessage="1" sqref="D10:G10">
      <formula1>IF(D12="-", 0, D12) &gt;= D10</formula1>
    </dataValidation>
    <dataValidation type="custom" operator="equal" showInputMessage="1" showErrorMessage="1" promptTitle="Warning" prompt="Please make sure that the total number of employees is the same as the one provided in the &quot;General Information&quot; sheet cell E55_x000a__x000a_" sqref="D20:G20">
      <formula1>IF(D22="-", 0, D22)&gt;=D18+D19+D20+D21</formula1>
    </dataValidation>
    <dataValidation type="custom" operator="equal" showInputMessage="1" showErrorMessage="1" promptTitle="Warning" prompt="Please make sure that the total number of employees is the same as the one provided in the &quot;General Information&quot; sheet cell E55_x000a__x000a_" sqref="D19:G19">
      <formula1>IF(D22="-", 0, D22)&gt;=D18+D19+D20+D21</formula1>
    </dataValidation>
    <dataValidation type="custom" operator="equal" showInputMessage="1" showErrorMessage="1" promptTitle="Warning" prompt="Please make sure that the total number of employees is the same as the one provided in the &quot;General Information&quot; sheet cell E55_x000a__x000a_" sqref="D18:G18">
      <formula1>IF(D22="-", 0, D22)&gt;=D18+D19+D20+D21</formula1>
    </dataValidation>
    <dataValidation type="custom" operator="equal" showInputMessage="1" showErrorMessage="1" promptTitle="Warning" prompt="Please make sure that the total number of employees is the same as the one provided in the &quot;General Information&quot; sheet cell E55_x000a__x000a_" sqref="D21:G21">
      <formula1>IF(D22="-", 0, D22)&gt;=D18+D19+D20+D21</formula1>
    </dataValidation>
    <dataValidation type="list" allowBlank="1" showInputMessage="1" showErrorMessage="1" sqref="C28:D37">
      <formula1>enum_ListCountriesName</formula1>
    </dataValidation>
    <dataValidation type="custom" showInputMessage="1" showErrorMessage="1" sqref="D46:H46">
      <formula1>IF(AND(D43&lt;&gt;"",D44&lt;&gt;"",D45&lt;&gt;""),(D43/((D44+D45)/2)),"-")</formula1>
    </dataValidation>
    <dataValidation allowBlank="1" showInputMessage="1" showErrorMessage="1" promptTitle="Employee turnover rate [%]" prompt="(number of employees who left during the reporting year / average number of employees during the reporting year) * 100" sqref="C46"/>
    <dataValidation type="decimal" operator="equal" allowBlank="1" showInputMessage="1" showErrorMessage="1" promptTitle="Warning (if applicable)" prompt="This disclosure is applicable only if the undertaking employs 50 or more employees." sqref="D43:H44">
      <formula1>D43</formula1>
    </dataValidation>
    <dataValidation type="decimal" operator="equal" allowBlank="1" showInputMessage="1" showErrorMessage="1" promptTitle="Warning" prompt="The undertaking can modify the value in this cell as 2,000 hours is based on the assumption that one full-time worker works 2,000 hours per year. This figure may vary by country or sector, depending on national rules or collective bargaining agreements." sqref="D50:H50">
      <formula1>D50</formula1>
    </dataValidation>
    <dataValidation allowBlank="1" showInputMessage="1" showErrorMessage="1" promptTitle="Rate of work-related accidents" prompt="(number of recordable work-related accidents in the reporting year / total number of hours worked in a year by all employees) * 200000" sqref="C52"/>
    <dataValidation type="decimal" operator="equal" allowBlank="1" showInputMessage="1" showErrorMessage="1" sqref="D49:H49 D66:H69 D51:H53">
      <formula1>D49</formula1>
    </dataValidation>
    <dataValidation type="decimal" operator="equal" allowBlank="1" showInputMessage="1" showErrorMessage="1" promptTitle="Warning" prompt="The undertaking may omit this disclosure when its headcount is below 150 employees." sqref="D57:H58">
      <formula1>D57</formula1>
    </dataValidation>
    <dataValidation allowBlank="1" showInputMessage="1" showErrorMessage="1" promptTitle="Rate of covered employees [%]" prompt="(number of employees covered by collective bargaining agreements / total number of employees) * 100" sqref="C61"/>
    <dataValidation allowBlank="1" showInputMessage="1" showErrorMessage="1" promptTitle="Percentage gap in pay  [%]" prompt="((average gross hourly pay level of male employees - average gross hourly pay level of female employees) / average gross hourly pay level of male employeees) * 100" sqref="C59"/>
    <dataValidation type="list" allowBlank="1" showInputMessage="1" showErrorMessage="1" sqref="D56:H56 D81:H81 D90:H90 D102:H102 D93:H93">
      <formula1>enum_ListYesNo</formula1>
    </dataValidation>
    <dataValidation type="decimal" operator="equal" allowBlank="1" showInputMessage="1" showErrorMessage="1" promptTitle="Warning (may disclosure)" prompt=" If the undertaking employs 50 or more employees, it may disclose this data." sqref="D74:H75 D77:H78">
      <formula1>D74</formula1>
    </dataValidation>
    <dataValidation allowBlank="1" showInputMessage="1" showErrorMessage="1" promptTitle="Management female-to-male ratio" prompt="number of female employees at management level / number of male employees at management level" sqref="C76"/>
    <dataValidation type="custom" showInputMessage="1" showErrorMessage="1" sqref="D76:H76">
      <formula1>IF(AND(D74&lt;&gt;"",D75&lt;&gt;""),$D$75/$D$74,"-")</formula1>
    </dataValidation>
    <dataValidation type="custom" showInputMessage="1" showErrorMessage="1" promptTitle="Warning" prompt="If &quot;Other&quot; is selected, please specify it in the row below" sqref="D88:H88">
      <formula1>OR(D88=TRUE,D88=FALSE)</formula1>
    </dataValidation>
    <dataValidation type="custom" showInputMessage="1" showErrorMessage="1" sqref="D84:H86">
      <formula1>OR(D84=FALSE,D84=TRUE)</formula1>
    </dataValidation>
    <dataValidation type="custom" showInputMessage="1" showErrorMessage="1" sqref="D83:H83 D87:H87 D95:H98">
      <formula1>OR(D83=TRUE,D83=FALSE)</formula1>
    </dataValidation>
    <dataValidation type="custom" showInputMessage="1" showErrorMessage="1" promptTitle="Warning" prompt="If &quot;Other&quot; is selected, please specify it in the row below" sqref="D99:H99">
      <formula1>OR(D99=FALSE,D99=TRUE)</formula1>
    </dataValidation>
    <dataValidation type="custom" showInputMessage="1" showErrorMessage="1" promptTitle="Warning" prompt="Please make sure that the total number of employees is the same as the one provided in the &quot;General Information&quot; sheet cell E55_x000a_" sqref="E28:H28">
      <formula1>IF(E38="-", 0, E38)&gt;=E28+E29+E30+E31+E32+E33+E34+E35+E36+E37</formula1>
    </dataValidation>
    <dataValidation type="custom" showInputMessage="1" showErrorMessage="1" sqref="E29:H29">
      <formula1>IF(E38="-", 0, E38)&gt;=E28+E29+E30+E31+E32+E33+E34+E35+E36+E37</formula1>
    </dataValidation>
    <dataValidation type="custom" showInputMessage="1" showErrorMessage="1" sqref="E30:H30">
      <formula1>IF(E38="-", 0, E38)&gt;=E28+E29+E30+E31+E32+E33+E34+E35+E36+E37</formula1>
    </dataValidation>
    <dataValidation type="custom" showInputMessage="1" showErrorMessage="1" sqref="E31:H31">
      <formula1>IF(E38="-", 0, E38)&gt;=E28+E29+E30+E31+E32+E33+E34+E35+E36+E37</formula1>
    </dataValidation>
    <dataValidation type="custom" showInputMessage="1" showErrorMessage="1" sqref="E32:H32">
      <formula1>IF(E38="-", 0, E38)&gt;=E28+E29+E30+E31+E32+E33+E34+E35+E36+E37</formula1>
    </dataValidation>
    <dataValidation type="custom" showInputMessage="1" showErrorMessage="1" sqref="E33:H33">
      <formula1>IF(E38="-", 0, E38)&gt;=E28+E29+E30+E31+E32+E33+E34+E35+E36+E37</formula1>
    </dataValidation>
    <dataValidation type="custom" showInputMessage="1" showErrorMessage="1" sqref="E34:H34">
      <formula1>IF(E38="-", 0, E38)&gt;=E28+E29+E30+E31+E32+E33+E34+E35+E36+E37</formula1>
    </dataValidation>
    <dataValidation type="custom" showInputMessage="1" showErrorMessage="1" sqref="E35:H35">
      <formula1>IF(E38="-", 0, E38)&gt;=E28+E29+E30+E31+E32+E33+E34+E35+E36+E37</formula1>
    </dataValidation>
    <dataValidation type="custom" showInputMessage="1" showErrorMessage="1" sqref="E36:H36">
      <formula1>IF(E38="-", 0, E38)&gt;=E28+E29+E30+E31+E32+E33+E34+E35+E36+E37</formula1>
    </dataValidation>
    <dataValidation type="custom" showInputMessage="1" showErrorMessage="1" sqref="E37:H37">
      <formula1>IF(E38="-", 0, E38)&gt;=E28+E29+E30+E31+E32+E33+E34+E35+E36+E37</formula1>
    </dataValidation>
  </dataValidations>
  <hyperlinks>
    <hyperlink ref="C7" r:id="rId1" location="id-89"/>
    <hyperlink ref="C8" r:id="rId2" location="id-355"/>
    <hyperlink ref="C15" r:id="rId3" location="id-90"/>
    <hyperlink ref="C16" r:id="rId4" location="id-355"/>
    <hyperlink ref="C26" r:id="rId5" location="id-355"/>
    <hyperlink ref="C25" r:id="rId6" location="id-91" display="https://xbrl.efrag.org/e-esrs/2024-12-17-efrag-vsme.xhtml - id-91"/>
    <hyperlink ref="C41" r:id="rId7" location="id-92" display="https://xbrl.efrag.org/e-esrs/2024-12-17-efrag-vsme.xhtml - id-92"/>
    <hyperlink ref="C42" r:id="rId8" location="id-363" display="https://xbrl.efrag.org/e-esrs/2024-12-17-efrag-vsme.xhtml - id-363"/>
    <hyperlink ref="A49" r:id="rId9" location="id-94"/>
    <hyperlink ref="A53" r:id="rId10" location="id-95"/>
    <hyperlink ref="B49" r:id="rId11" location="id-364"/>
    <hyperlink ref="A52" r:id="rId12" location="id-94"/>
    <hyperlink ref="B52" r:id="rId13" location="id-364"/>
    <hyperlink ref="B53" r:id="rId14" location="id-364"/>
    <hyperlink ref="B50" r:id="rId15" location="id-364"/>
    <hyperlink ref="A50" r:id="rId16" location="id-94"/>
    <hyperlink ref="B51" r:id="rId17" location="id-364"/>
    <hyperlink ref="A51" r:id="rId18" location="id-94"/>
    <hyperlink ref="A56" r:id="rId19" location="id-97"/>
    <hyperlink ref="A60" r:id="rId20" location="id-99"/>
    <hyperlink ref="B56" r:id="rId21" location="id-372"/>
    <hyperlink ref="B60" r:id="rId22" location="id-386"/>
    <hyperlink ref="B57" r:id="rId23" location="id-374"/>
    <hyperlink ref="A57" r:id="rId24" location="id-98"/>
    <hyperlink ref="B58" r:id="rId25" location="id-374"/>
    <hyperlink ref="B59" r:id="rId26" location="id-374"/>
    <hyperlink ref="A58" r:id="rId27" location="id-98"/>
    <hyperlink ref="A59" r:id="rId28" location="id-98"/>
    <hyperlink ref="C64" r:id="rId29" location="id-100"/>
    <hyperlink ref="A74" r:id="rId30" location="id-130" display="https://xbrl.efrag.org/e-esrs/2024-12-17-efrag-vsme.xhtml - id-130"/>
    <hyperlink ref="A77" r:id="rId31" location="id-131" display="https://xbrl.efrag.org/e-esrs/2024-12-17-efrag-vsme.xhtml - id-131"/>
    <hyperlink ref="A78" r:id="rId32" location="id-131" display="https://xbrl.efrag.org/e-esrs/2024-12-17-efrag-vsme.xhtml - id-131"/>
    <hyperlink ref="B74" r:id="rId33" location="id-415"/>
    <hyperlink ref="B77" r:id="rId34" location="id-418"/>
    <hyperlink ref="A75" r:id="rId35" location="id-130" display="https://xbrl.efrag.org/e-esrs/2024-12-17-efrag-vsme.xhtml - id-130"/>
    <hyperlink ref="A76" r:id="rId36" location="id-130" display="https://xbrl.efrag.org/e-esrs/2024-12-17-efrag-vsme.xhtml - id-130"/>
    <hyperlink ref="B75" r:id="rId37" location="id-415"/>
    <hyperlink ref="B76" r:id="rId38" location="id-415"/>
    <hyperlink ref="B78" r:id="rId39" location="id-418"/>
    <hyperlink ref="A81" r:id="rId40" location="id-133"/>
    <hyperlink ref="A82" r:id="rId41" location="id-134"/>
    <hyperlink ref="A90" r:id="rId42" location="id-141"/>
    <hyperlink ref="B81" r:id="rId43" location="id-421" display="https://xbrl.efrag.org/e-esrs/2024-12-17-efrag-vsme.xhtml - id-421"/>
    <hyperlink ref="A83" r:id="rId44" location="id-134"/>
    <hyperlink ref="A84" r:id="rId45" location="id-134"/>
    <hyperlink ref="A85" r:id="rId46" location="id-134"/>
    <hyperlink ref="A86" r:id="rId47" location="id-134"/>
    <hyperlink ref="A87" r:id="rId48" location="id-134"/>
    <hyperlink ref="A88" r:id="rId49" location="id-134"/>
    <hyperlink ref="A89" r:id="rId50" location="id-134"/>
    <hyperlink ref="B82" r:id="rId51" location="id-421" display="https://xbrl.efrag.org/e-esrs/2024-12-17-efrag-vsme.xhtml - id-421"/>
    <hyperlink ref="B83" r:id="rId52" location="id-421" display="https://xbrl.efrag.org/e-esrs/2024-12-17-efrag-vsme.xhtml - id-421"/>
    <hyperlink ref="B84" r:id="rId53" location="id-421" display="https://xbrl.efrag.org/e-esrs/2024-12-17-efrag-vsme.xhtml - id-421"/>
    <hyperlink ref="A102" r:id="rId54" location="id-150"/>
    <hyperlink ref="B93" r:id="rId55" location="id-422" display="https://xbrl.efrag.org/e-esrs/2024-12-17-efrag-vsme.xhtml - id-422"/>
    <hyperlink ref="A94" r:id="rId56" location="id-144" display="62(a)(i)"/>
    <hyperlink ref="A93" r:id="rId57" location="id-142" display="https://xbrl.efrag.org/e-esrs/2024-12-17-efrag-vsme.xhtml - id-142"/>
    <hyperlink ref="A101" r:id="rId58" location="id-149"/>
    <hyperlink ref="C108" r:id="rId59" location="id-30" display="https://xbrl.efrag.org/e-esrs/2024-12-17-efrag-vsme.xhtml - id-30"/>
    <hyperlink ref="B85:B90" r:id="rId60" location="id-421" display="https://xbrl.efrag.org/e-esrs/2024-12-17-efrag-vsme.xhtml - id-421"/>
    <hyperlink ref="B94:B103" r:id="rId61" location="id-422" display="https://xbrl.efrag.org/e-esrs/2024-12-17-efrag-vsme.xhtml - id-422"/>
    <hyperlink ref="A103" r:id="rId62" location="id-150"/>
    <hyperlink ref="A95:A100" r:id="rId63" location="id-144" display="62(a)(i)"/>
  </hyperlinks>
  <pageMargins left="0.25" right="0.25" top="0.75" bottom="0.75" header="0.3" footer="0.3"/>
  <pageSetup paperSize="9" scale="30" fitToHeight="0" orientation="landscape" r:id="rId64"/>
  <drawing r:id="rId65"/>
  <extLst>
    <ext xmlns:x14="http://schemas.microsoft.com/office/spreadsheetml/2009/9/main" uri="{78C0D931-6437-407d-A8EE-F0AAD7539E65}">
      <x14:conditionalFormattings>
        <x14:conditionalFormatting xmlns:xm="http://schemas.microsoft.com/office/excel/2006/main">
          <x14:cfRule type="expression" priority="53" id="{C1AD0EBF-9256-40D4-AB7C-630EAFD99990}">
            <xm:f>'General Information'!$E$62&gt;50</xm:f>
            <x14:dxf>
              <fill>
                <patternFill patternType="solid">
                  <bgColor rgb="FFFFFF99"/>
                </patternFill>
              </fill>
            </x14:dxf>
          </x14:cfRule>
          <xm:sqref>C43:H45</xm:sqref>
        </x14:conditionalFormatting>
        <x14:conditionalFormatting xmlns:xm="http://schemas.microsoft.com/office/excel/2006/main">
          <x14:cfRule type="expression" priority="40" id="{41BDF252-99BC-47B0-A14B-5396CCC7A6C9}">
            <xm:f>'General Information'!$E$62&gt;150</xm:f>
            <x14:dxf>
              <fill>
                <patternFill patternType="solid">
                  <bgColor rgb="FFFFFF99"/>
                </patternFill>
              </fill>
            </x14:dxf>
          </x14:cfRule>
          <xm:sqref>C57:H58</xm:sqref>
        </x14:conditionalFormatting>
        <x14:conditionalFormatting xmlns:xm="http://schemas.microsoft.com/office/excel/2006/main">
          <x14:cfRule type="expression" priority="33" id="{0A250C4B-DD07-4841-AABD-2DCC525B6367}">
            <xm:f>'General Information'!$E$62&gt;50</xm:f>
            <x14:dxf>
              <fill>
                <patternFill patternType="solid">
                  <bgColor rgb="FFFFFF99"/>
                </patternFill>
              </fill>
            </x14:dxf>
          </x14:cfRule>
          <xm:sqref>C74:H75</xm:sqref>
        </x14:conditionalFormatting>
        <x14:conditionalFormatting xmlns:xm="http://schemas.microsoft.com/office/excel/2006/main">
          <x14:cfRule type="expression" priority="32" id="{69F3CDF1-C506-4C12-A20E-FE804D24A482}">
            <xm:f>'General Information'!$E$62&gt;50</xm:f>
            <x14:dxf>
              <fill>
                <patternFill patternType="none">
                  <bgColor auto="1"/>
                </patternFill>
              </fill>
            </x14:dxf>
          </x14:cfRule>
          <xm:sqref>D77:H78</xm:sqref>
        </x14:conditionalFormatting>
        <x14:conditionalFormatting xmlns:xm="http://schemas.microsoft.com/office/excel/2006/main">
          <x14:cfRule type="expression" priority="31" id="{9B10E77F-7102-491B-A9C8-C6F978FDB272}">
            <xm:f>'General Information'!$E$32="Option A (Basic Module only)"</xm:f>
            <x14:dxf>
              <fill>
                <patternFill>
                  <bgColor theme="0" tint="-0.14996795556505021"/>
                </patternFill>
              </fill>
            </x14:dxf>
          </x14:cfRule>
          <xm:sqref>D83:H88</xm:sqref>
        </x14:conditionalFormatting>
        <x14:conditionalFormatting xmlns:xm="http://schemas.microsoft.com/office/excel/2006/main">
          <x14:cfRule type="expression" priority="20" id="{04A7DFC3-A5B9-44F5-A88C-400BD569DEEE}">
            <xm:f>'General Information'!$E$32="Option A (Basic Module only)"</xm:f>
            <x14:dxf>
              <fill>
                <patternFill>
                  <bgColor theme="0" tint="-0.14996795556505021"/>
                </patternFill>
              </fill>
            </x14:dxf>
          </x14:cfRule>
          <xm:sqref>D95:H99</xm:sqref>
        </x14:conditionalFormatting>
      </x14:conditionalFormattings>
    </ext>
    <ext xmlns:x14="http://schemas.microsoft.com/office/spreadsheetml/2009/9/main" uri="{CCE6A557-97BC-4b89-ADB6-D9C93CAAB3DF}">
      <x14:dataValidations xmlns:xm="http://schemas.microsoft.com/office/excel/2006/main" count="3">
        <x14:dataValidation type="custom" showInputMessage="1" showErrorMessage="1">
          <x14:formula1>
            <xm:f>IF('General Information'!$E$64="","-",'General Information'!$E$64)</xm:f>
          </x14:formula1>
          <xm:sqref>F2:H2</xm:sqref>
        </x14:dataValidation>
        <x14:dataValidation type="custom" showInputMessage="1" showErrorMessage="1">
          <x14:formula1>
            <xm:f>IF('General Information'!$E$62="","-",'General Information'!$E$62)</xm:f>
          </x14:formula1>
          <xm:sqref>D22:G22 E38</xm:sqref>
        </x14:dataValidation>
        <x14:dataValidation type="decimal" operator="lessThanOrEqual" showInputMessage="1" showErrorMessage="1">
          <x14:formula1>
            <xm:f>'General Information'!E62</xm:f>
          </x14:formula1>
          <xm:sqref>D60:H60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BZ218"/>
  <sheetViews>
    <sheetView zoomScaleNormal="100" workbookViewId="0">
      <selection activeCell="K38" sqref="K38"/>
    </sheetView>
  </sheetViews>
  <sheetFormatPr baseColWidth="10" defaultColWidth="8.875" defaultRowHeight="15"/>
  <cols>
    <col min="1" max="2" width="10" bestFit="1" customWidth="1"/>
    <col min="3" max="3" width="33.5" customWidth="1"/>
    <col min="5" max="5" width="14.5" customWidth="1"/>
    <col min="7" max="7" width="24.375" customWidth="1"/>
    <col min="8" max="8" width="38.5" customWidth="1"/>
    <col min="9" max="9" width="15.5" style="15" customWidth="1"/>
    <col min="10" max="10" width="16.5" style="10" customWidth="1"/>
    <col min="11" max="17" width="8.5" style="10"/>
    <col min="18" max="78" width="8.625" style="10"/>
  </cols>
  <sheetData>
    <row r="1" spans="1:9" ht="43.5" thickBot="1">
      <c r="A1" s="309" t="s">
        <v>4565</v>
      </c>
      <c r="B1" s="309" t="s">
        <v>4564</v>
      </c>
      <c r="C1" s="10"/>
      <c r="D1" s="10"/>
      <c r="E1" s="10"/>
      <c r="F1" s="10"/>
      <c r="G1" s="10"/>
      <c r="H1" s="10"/>
    </row>
    <row r="2" spans="1:9">
      <c r="A2" s="10"/>
      <c r="B2" s="10"/>
      <c r="C2" s="500" t="str">
        <f xml:space="preserve"> "B11 – Convictions and fines for corruption and bribery "&amp; template_reporting_period_display &amp; " [If applicable]"</f>
        <v>B11 – Convictions and fines for corruption and bribery from 2024-01-01 to 2024-12-31 [If applicable]</v>
      </c>
      <c r="D2" s="501"/>
      <c r="E2" s="501"/>
      <c r="F2" s="501"/>
      <c r="G2" s="501"/>
      <c r="H2" s="502"/>
    </row>
    <row r="3" spans="1:9">
      <c r="A3" s="10"/>
      <c r="B3" s="10"/>
      <c r="C3" s="1018">
        <v>43</v>
      </c>
      <c r="D3" s="1019"/>
      <c r="E3" s="1019"/>
      <c r="F3" s="1019"/>
      <c r="G3" s="1019"/>
      <c r="H3" s="1020"/>
    </row>
    <row r="4" spans="1:9">
      <c r="A4" s="10"/>
      <c r="B4" s="10"/>
      <c r="C4" s="1021" t="s">
        <v>4627</v>
      </c>
      <c r="D4" s="1022"/>
      <c r="E4" s="1022"/>
      <c r="F4" s="1022"/>
      <c r="G4" s="1022"/>
      <c r="H4" s="1023"/>
    </row>
    <row r="5" spans="1:9" s="10" customFormat="1">
      <c r="C5" s="1046" t="s">
        <v>3830</v>
      </c>
      <c r="D5" s="1047"/>
      <c r="E5" s="1047"/>
      <c r="F5" s="1047"/>
      <c r="G5" s="1047"/>
      <c r="H5" s="190"/>
      <c r="I5" s="15"/>
    </row>
    <row r="6" spans="1:9" s="10" customFormat="1" ht="21.6" customHeight="1">
      <c r="C6" s="1038" t="s">
        <v>3859</v>
      </c>
      <c r="D6" s="1039"/>
      <c r="E6" s="1039"/>
      <c r="F6" s="1039"/>
      <c r="G6" s="1040"/>
      <c r="H6" s="342"/>
      <c r="I6" s="15" t="str">
        <f>IF(AND($H$5=TRUE,H6&lt;&gt;""),"OK",IF(AND($H$5=TRUE,H6=""),"MISSING VALUE",""))</f>
        <v/>
      </c>
    </row>
    <row r="7" spans="1:9" s="10" customFormat="1" ht="15.75" thickBot="1">
      <c r="C7" s="1041" t="str">
        <f>"Total amount of fines for the violation of anti-corruption and anti_x0002_bribery laws (monetary amount) in " &amp;  template_currency</f>
        <v>Total amount of fines for the violation of anti-corruption and anti_x0002_bribery laws (monetary amount) in EUR</v>
      </c>
      <c r="D7" s="1042"/>
      <c r="E7" s="1042"/>
      <c r="F7" s="1042"/>
      <c r="G7" s="1043"/>
      <c r="H7" s="343"/>
      <c r="I7" s="15" t="str">
        <f>IF(AND($H$5=TRUE,H7&lt;&gt;""),"OK",IF(AND($H$5=TRUE,H7=""),"MISSING VALUE",""))</f>
        <v/>
      </c>
    </row>
    <row r="8" spans="1:9" s="10" customFormat="1" ht="15.75" thickBot="1">
      <c r="I8" s="15"/>
    </row>
    <row r="9" spans="1:9" s="10" customFormat="1">
      <c r="C9" s="747" t="str">
        <f xml:space="preserve"> "C8 – Revenues from certain sectors " &amp; template_reporting_period_display &amp; " [If applicable]"</f>
        <v>C8 – Revenues from certain sectors from 2024-01-01 to 2024-12-31 [If applicable]</v>
      </c>
      <c r="D9" s="1013"/>
      <c r="E9" s="1013"/>
      <c r="F9" s="1013"/>
      <c r="G9" s="1013"/>
      <c r="H9" s="1014"/>
      <c r="I9" s="15"/>
    </row>
    <row r="10" spans="1:9" ht="28.15" customHeight="1">
      <c r="A10" s="10"/>
      <c r="B10" s="10"/>
      <c r="C10" s="1046" t="s">
        <v>3831</v>
      </c>
      <c r="D10" s="1047"/>
      <c r="E10" s="1047"/>
      <c r="F10" s="1047"/>
      <c r="G10" s="1047"/>
      <c r="H10" s="191" t="b">
        <v>0</v>
      </c>
    </row>
    <row r="11" spans="1:9">
      <c r="A11" s="10"/>
      <c r="B11" s="10"/>
      <c r="C11" s="1028"/>
      <c r="D11" s="1029"/>
      <c r="E11" s="1029"/>
      <c r="F11" s="1029"/>
      <c r="G11" s="1029"/>
      <c r="H11" s="55" t="str">
        <f xml:space="preserve"> "Monetary amount in " &amp; template_currency</f>
        <v>Monetary amount in EUR</v>
      </c>
    </row>
    <row r="12" spans="1:9" s="10" customFormat="1" ht="32.450000000000003" customHeight="1">
      <c r="A12" s="296" t="s">
        <v>4628</v>
      </c>
      <c r="B12" s="297" t="s">
        <v>4632</v>
      </c>
      <c r="C12" s="495" t="s">
        <v>3771</v>
      </c>
      <c r="D12" s="496"/>
      <c r="E12" s="496"/>
      <c r="F12" s="496"/>
      <c r="G12" s="496"/>
      <c r="H12" s="338"/>
      <c r="I12" s="1048" t="str">
        <f>IF(AND(H10=FALSE,COUNTA(H12:H16)=0, H18=""),
    "",
    IF(AND(OR(COUNTA(H12:H16)&gt;0, H18&lt;&gt;""), SUM(H12:H16, H18)&lt;='General Information'!E61),
        "OK",
        IF(AND(H10=TRUE, COUNTA(H12:H16)=0, H18=""),
            "MISSING VALUE",
            "VALUE INCONSISTENCY"
        )
    )
)</f>
        <v/>
      </c>
    </row>
    <row r="13" spans="1:9" s="10" customFormat="1" thickBot="1">
      <c r="A13" s="296" t="s">
        <v>4629</v>
      </c>
      <c r="B13" s="297" t="s">
        <v>4632</v>
      </c>
      <c r="C13" s="754" t="s">
        <v>3770</v>
      </c>
      <c r="D13" s="755"/>
      <c r="E13" s="755"/>
      <c r="F13" s="755"/>
      <c r="G13" s="755"/>
      <c r="H13" s="339"/>
      <c r="I13" s="1048"/>
    </row>
    <row r="14" spans="1:9" s="10" customFormat="1" ht="14.25">
      <c r="A14" s="306" t="s">
        <v>4630</v>
      </c>
      <c r="B14" s="297" t="s">
        <v>4632</v>
      </c>
      <c r="C14" s="1049" t="s">
        <v>3769</v>
      </c>
      <c r="D14" s="1050"/>
      <c r="E14" s="1050"/>
      <c r="F14" s="1050"/>
      <c r="G14" s="1050"/>
      <c r="H14" s="340"/>
      <c r="I14" s="1048"/>
    </row>
    <row r="15" spans="1:9" s="10" customFormat="1" ht="14.25">
      <c r="A15" s="306" t="s">
        <v>4630</v>
      </c>
      <c r="B15" s="297" t="s">
        <v>4632</v>
      </c>
      <c r="C15" s="495" t="s">
        <v>3768</v>
      </c>
      <c r="D15" s="496"/>
      <c r="E15" s="496"/>
      <c r="F15" s="496"/>
      <c r="G15" s="496"/>
      <c r="H15" s="338"/>
      <c r="I15" s="1048"/>
    </row>
    <row r="16" spans="1:9" s="10" customFormat="1" ht="14.25">
      <c r="A16" s="306" t="s">
        <v>4630</v>
      </c>
      <c r="B16" s="297" t="s">
        <v>4632</v>
      </c>
      <c r="C16" s="495" t="s">
        <v>3767</v>
      </c>
      <c r="D16" s="496"/>
      <c r="E16" s="496"/>
      <c r="F16" s="496"/>
      <c r="G16" s="496"/>
      <c r="H16" s="338"/>
      <c r="I16" s="1048"/>
    </row>
    <row r="17" spans="1:9" s="10" customFormat="1" ht="60.6" customHeight="1" thickBot="1">
      <c r="A17" s="306" t="s">
        <v>4630</v>
      </c>
      <c r="B17" s="297" t="s">
        <v>4632</v>
      </c>
      <c r="C17" s="1044" t="s">
        <v>3860</v>
      </c>
      <c r="D17" s="1045"/>
      <c r="E17" s="1045"/>
      <c r="F17" s="1045"/>
      <c r="G17" s="1045"/>
      <c r="H17" s="333" t="str">
        <f>IF(COUNTA(H14:H16)=0, "-", SUM(H14:H16))</f>
        <v>-</v>
      </c>
      <c r="I17" s="1048"/>
    </row>
    <row r="18" spans="1:9" s="10" customFormat="1" thickBot="1">
      <c r="A18" s="296" t="s">
        <v>4631</v>
      </c>
      <c r="B18" s="297" t="s">
        <v>4632</v>
      </c>
      <c r="C18" s="882" t="s">
        <v>3766</v>
      </c>
      <c r="D18" s="1027"/>
      <c r="E18" s="1027"/>
      <c r="F18" s="1027"/>
      <c r="G18" s="1027"/>
      <c r="H18" s="341"/>
      <c r="I18" s="1048"/>
    </row>
    <row r="19" spans="1:9" s="10" customFormat="1" ht="15.75" thickBot="1">
      <c r="I19" s="15"/>
    </row>
    <row r="20" spans="1:9" s="10" customFormat="1">
      <c r="B20" s="288"/>
      <c r="C20" s="747" t="str">
        <f xml:space="preserve"> "C8 – Exclusion from EU reference benchmarks " &amp; template_reporting_period_display &amp; " [Always to be reported]"</f>
        <v>C8 – Exclusion from EU reference benchmarks from 2024-01-01 to 2024-12-31 [Always to be reported]</v>
      </c>
      <c r="D20" s="1013"/>
      <c r="E20" s="1013"/>
      <c r="F20" s="1013"/>
      <c r="G20" s="1013"/>
      <c r="H20" s="1014"/>
      <c r="I20" s="15"/>
    </row>
    <row r="21" spans="1:9" s="10" customFormat="1">
      <c r="B21" s="289"/>
      <c r="C21" s="1024" t="s">
        <v>3370</v>
      </c>
      <c r="D21" s="1025"/>
      <c r="E21" s="1025"/>
      <c r="F21" s="1025"/>
      <c r="G21" s="1025"/>
      <c r="H21" s="1026"/>
      <c r="I21" s="15"/>
    </row>
    <row r="22" spans="1:9" s="10" customFormat="1" ht="30" customHeight="1">
      <c r="A22" s="296">
        <v>64</v>
      </c>
      <c r="B22" s="296" t="s">
        <v>4633</v>
      </c>
      <c r="C22" s="1030" t="s">
        <v>3294</v>
      </c>
      <c r="D22" s="1030"/>
      <c r="E22" s="1030"/>
      <c r="F22" s="1030"/>
      <c r="G22" s="1031"/>
      <c r="H22" s="192" t="b">
        <v>0</v>
      </c>
      <c r="I22" s="896" t="str">
        <f>IF(AND(OR(H22=TRUE, H23=TRUE, H24=TRUE, H25=TRUE), 'General Information'!E32="Option B (Basic Module and Comprehensive Module)"), "OK",
    IF(AND(H22=FALSE, H23=FALSE, H24=FALSE, H25=FALSE, H26=FALSE, 'General Information'!E32="Option B (Basic Module and Comprehensive Module)"), "MISSING VALUE",
    IF('General Information'!E32="Option A (Basic Module only)", "",
    IF(AND('General Information'!E32="Option B (Basic Module and Comprehensive Module)", H26=TRUE), "OK", ""))))</f>
        <v/>
      </c>
    </row>
    <row r="23" spans="1:9" s="10" customFormat="1" ht="14.25">
      <c r="A23" s="296">
        <v>64</v>
      </c>
      <c r="B23" s="296" t="s">
        <v>4634</v>
      </c>
      <c r="C23" s="1032" t="s">
        <v>3293</v>
      </c>
      <c r="D23" s="1032"/>
      <c r="E23" s="1032"/>
      <c r="F23" s="1032"/>
      <c r="G23" s="1033"/>
      <c r="H23" s="193" t="b">
        <v>0</v>
      </c>
      <c r="I23" s="896"/>
    </row>
    <row r="24" spans="1:9" s="10" customFormat="1" ht="32.450000000000003" customHeight="1">
      <c r="A24" s="296">
        <v>64</v>
      </c>
      <c r="B24" s="296" t="s">
        <v>4635</v>
      </c>
      <c r="C24" s="1034" t="s">
        <v>3292</v>
      </c>
      <c r="D24" s="1034"/>
      <c r="E24" s="1034"/>
      <c r="F24" s="1034"/>
      <c r="G24" s="1035"/>
      <c r="H24" s="193" t="b">
        <v>0</v>
      </c>
      <c r="I24" s="896"/>
    </row>
    <row r="25" spans="1:9" s="10" customFormat="1" ht="31.15" customHeight="1" thickBot="1">
      <c r="A25" s="296">
        <v>64</v>
      </c>
      <c r="B25" s="296" t="s">
        <v>4636</v>
      </c>
      <c r="C25" s="1036" t="s">
        <v>3862</v>
      </c>
      <c r="D25" s="1036"/>
      <c r="E25" s="1036"/>
      <c r="F25" s="1036"/>
      <c r="G25" s="1037"/>
      <c r="H25" s="194" t="b">
        <v>0</v>
      </c>
      <c r="I25" s="896"/>
    </row>
    <row r="26" spans="1:9" s="10" customFormat="1" thickBot="1">
      <c r="B26" s="288"/>
      <c r="C26" s="1054" t="s">
        <v>3644</v>
      </c>
      <c r="D26" s="1055"/>
      <c r="E26" s="1055"/>
      <c r="F26" s="1055"/>
      <c r="G26" s="1056"/>
      <c r="H26" s="195" t="b">
        <v>0</v>
      </c>
      <c r="I26" s="896"/>
    </row>
    <row r="27" spans="1:9" s="10" customFormat="1" ht="15.75" thickBot="1">
      <c r="A27" s="296">
        <v>64</v>
      </c>
      <c r="B27" s="307">
        <v>241</v>
      </c>
      <c r="C27" s="1057" t="s">
        <v>3744</v>
      </c>
      <c r="D27" s="1058"/>
      <c r="E27" s="1058"/>
      <c r="F27" s="1058"/>
      <c r="G27" s="1059"/>
      <c r="H27" s="20" t="str">
        <f>IF(AND(OR(H22=TRUE, H23=TRUE, H24=TRUE, H25=TRUE), H26=FALSE), "YES",
   IF(AND(OR(H22=TRUE, H23=TRUE, H24=TRUE, H25=TRUE), H26=TRUE), "NA",
   IF(AND(H22=FALSE, H23=FALSE, H24=FALSE, H25=FALSE, H26=TRUE), "NO",
   IF(AND(H22=FALSE, H23=FALSE, H24=FALSE, H25=FALSE, H26=FALSE), "-", ""))))</f>
        <v>-</v>
      </c>
      <c r="I27" s="15" t="str">
        <f>IF(H27=TRUE, "OK", "")</f>
        <v/>
      </c>
    </row>
    <row r="28" spans="1:9" s="10" customFormat="1" ht="15.75" thickBot="1">
      <c r="I28" s="15"/>
    </row>
    <row r="29" spans="1:9" s="10" customFormat="1">
      <c r="C29" s="1015" t="str">
        <f>"C9 – Gender diversity ratio in the governance body " &amp; template_ending_date_display &amp; "  [If applicable]"</f>
        <v>C9 – Gender diversity ratio in the governance body at 2024-12-31  [If applicable]</v>
      </c>
      <c r="D29" s="1016"/>
      <c r="E29" s="1016"/>
      <c r="F29" s="1016"/>
      <c r="G29" s="1016"/>
      <c r="H29" s="1017"/>
      <c r="I29" s="15"/>
    </row>
    <row r="30" spans="1:9" s="10" customFormat="1">
      <c r="C30" s="1046" t="s">
        <v>3832</v>
      </c>
      <c r="D30" s="1047"/>
      <c r="E30" s="1047"/>
      <c r="F30" s="1047"/>
      <c r="G30" s="1047"/>
      <c r="H30" s="191" t="b">
        <v>0</v>
      </c>
      <c r="I30" s="15"/>
    </row>
    <row r="31" spans="1:9" s="10" customFormat="1">
      <c r="A31" s="1022">
        <v>65</v>
      </c>
      <c r="B31" s="1062" t="s">
        <v>4637</v>
      </c>
      <c r="C31" s="1046" t="s">
        <v>4309</v>
      </c>
      <c r="D31" s="1047"/>
      <c r="E31" s="1047"/>
      <c r="F31" s="1047"/>
      <c r="G31" s="1047"/>
      <c r="H31" s="338"/>
      <c r="I31" s="15" t="str">
        <f>IF(AND($H$30=TRUE,H31&lt;&gt;""),"OK",IF(AND($H$30=TRUE,H31=""),"MISSING VALUE",""))</f>
        <v/>
      </c>
    </row>
    <row r="32" spans="1:9" s="10" customFormat="1">
      <c r="A32" s="1060"/>
      <c r="B32" s="1063"/>
      <c r="C32" s="1046" t="s">
        <v>4310</v>
      </c>
      <c r="D32" s="1047"/>
      <c r="E32" s="1047"/>
      <c r="F32" s="1047"/>
      <c r="G32" s="1047"/>
      <c r="H32" s="338"/>
      <c r="I32" s="15" t="str">
        <f>IF(AND($H$30=TRUE,H32&lt;&gt;""),"OK",IF(AND($H$30=TRUE,H32=""),"MISSING VALUE",""))</f>
        <v/>
      </c>
    </row>
    <row r="33" spans="1:9" s="10" customFormat="1" ht="15.75" thickBot="1">
      <c r="A33" s="1061"/>
      <c r="B33" s="1064"/>
      <c r="C33" s="1065" t="s">
        <v>4311</v>
      </c>
      <c r="D33" s="1066"/>
      <c r="E33" s="1066"/>
      <c r="F33" s="1066"/>
      <c r="G33" s="1066"/>
      <c r="H33" s="337" t="str">
        <f>IF(AND(H31&lt;&gt;"",H32&lt;&gt;""),$H$31/$H$32,"-")</f>
        <v>-</v>
      </c>
      <c r="I33" s="15"/>
    </row>
    <row r="34" spans="1:9" s="10" customFormat="1">
      <c r="I34" s="15"/>
    </row>
    <row r="35" spans="1:9" s="10" customFormat="1">
      <c r="I35" s="15"/>
    </row>
    <row r="36" spans="1:9" s="10" customFormat="1">
      <c r="C36" s="578" t="str">
        <f>+ "Disclosure of any other governance and/or entity specific governance disclosures " &amp; template_reporting_period_display &amp; "  [May (optional)] "</f>
        <v xml:space="preserve">Disclosure of any other governance and/or entity specific governance disclosures from 2024-01-01 to 2024-12-31  [May (optional)] </v>
      </c>
      <c r="D36" s="579"/>
      <c r="E36" s="579"/>
      <c r="F36" s="579"/>
      <c r="G36" s="579"/>
      <c r="H36" s="580"/>
      <c r="I36" s="15"/>
    </row>
    <row r="37" spans="1:9" s="10" customFormat="1">
      <c r="C37" s="1051">
        <v>10</v>
      </c>
      <c r="D37" s="1052"/>
      <c r="E37" s="1052"/>
      <c r="F37" s="1052"/>
      <c r="G37" s="1052"/>
      <c r="H37" s="1053"/>
      <c r="I37" s="15"/>
    </row>
    <row r="38" spans="1:9" s="10" customFormat="1" thickBot="1">
      <c r="C38" s="572"/>
      <c r="D38" s="573"/>
      <c r="E38" s="573"/>
      <c r="F38" s="573"/>
      <c r="G38" s="573"/>
      <c r="H38" s="895"/>
      <c r="I38" s="19" t="str">
        <f>IF(C38&lt;&gt;"", "OK", "")</f>
        <v/>
      </c>
    </row>
    <row r="39" spans="1:9" s="10" customFormat="1">
      <c r="I39" s="15"/>
    </row>
    <row r="40" spans="1:9" s="10" customFormat="1">
      <c r="I40" s="15"/>
    </row>
    <row r="41" spans="1:9" s="10" customFormat="1">
      <c r="I41" s="15"/>
    </row>
    <row r="42" spans="1:9" s="10" customFormat="1">
      <c r="I42" s="15"/>
    </row>
    <row r="43" spans="1:9" s="10" customFormat="1">
      <c r="I43" s="15"/>
    </row>
    <row r="44" spans="1:9" s="10" customFormat="1">
      <c r="I44" s="15"/>
    </row>
    <row r="45" spans="1:9" s="10" customFormat="1">
      <c r="I45" s="15"/>
    </row>
    <row r="46" spans="1:9" s="10" customFormat="1">
      <c r="I46" s="15"/>
    </row>
    <row r="47" spans="1:9" s="10" customFormat="1">
      <c r="I47" s="15"/>
    </row>
    <row r="48" spans="1:9" s="10" customFormat="1">
      <c r="I48" s="15"/>
    </row>
    <row r="49" spans="9:9" s="10" customFormat="1">
      <c r="I49" s="15"/>
    </row>
    <row r="50" spans="9:9" s="10" customFormat="1">
      <c r="I50" s="15"/>
    </row>
    <row r="51" spans="9:9" s="10" customFormat="1">
      <c r="I51" s="15"/>
    </row>
    <row r="52" spans="9:9" s="10" customFormat="1">
      <c r="I52" s="15"/>
    </row>
    <row r="53" spans="9:9" s="10" customFormat="1">
      <c r="I53" s="15"/>
    </row>
    <row r="54" spans="9:9" s="10" customFormat="1">
      <c r="I54" s="15"/>
    </row>
    <row r="55" spans="9:9" s="10" customFormat="1">
      <c r="I55" s="15"/>
    </row>
    <row r="56" spans="9:9" s="10" customFormat="1">
      <c r="I56" s="15"/>
    </row>
    <row r="57" spans="9:9" s="10" customFormat="1">
      <c r="I57" s="15"/>
    </row>
    <row r="58" spans="9:9" s="10" customFormat="1">
      <c r="I58" s="15"/>
    </row>
    <row r="59" spans="9:9" s="10" customFormat="1">
      <c r="I59" s="15"/>
    </row>
    <row r="60" spans="9:9" s="10" customFormat="1">
      <c r="I60" s="15"/>
    </row>
    <row r="61" spans="9:9" s="10" customFormat="1">
      <c r="I61" s="15"/>
    </row>
    <row r="62" spans="9:9" s="10" customFormat="1">
      <c r="I62" s="15"/>
    </row>
    <row r="63" spans="9:9" s="10" customFormat="1">
      <c r="I63" s="15"/>
    </row>
    <row r="64" spans="9:9" s="10" customFormat="1">
      <c r="I64" s="15"/>
    </row>
    <row r="65" spans="9:9" s="10" customFormat="1">
      <c r="I65" s="15"/>
    </row>
    <row r="66" spans="9:9" s="10" customFormat="1">
      <c r="I66" s="15"/>
    </row>
    <row r="67" spans="9:9" s="10" customFormat="1">
      <c r="I67" s="15"/>
    </row>
    <row r="68" spans="9:9" s="10" customFormat="1">
      <c r="I68" s="15"/>
    </row>
    <row r="69" spans="9:9" s="10" customFormat="1">
      <c r="I69" s="15"/>
    </row>
    <row r="70" spans="9:9" s="10" customFormat="1">
      <c r="I70" s="15"/>
    </row>
    <row r="71" spans="9:9" s="10" customFormat="1">
      <c r="I71" s="15"/>
    </row>
    <row r="72" spans="9:9" s="10" customFormat="1">
      <c r="I72" s="15"/>
    </row>
    <row r="73" spans="9:9" s="10" customFormat="1">
      <c r="I73" s="15"/>
    </row>
    <row r="74" spans="9:9" s="10" customFormat="1">
      <c r="I74" s="15"/>
    </row>
    <row r="75" spans="9:9" s="10" customFormat="1">
      <c r="I75" s="15"/>
    </row>
    <row r="76" spans="9:9" s="10" customFormat="1">
      <c r="I76" s="15"/>
    </row>
    <row r="77" spans="9:9" s="10" customFormat="1">
      <c r="I77" s="15"/>
    </row>
    <row r="78" spans="9:9" s="10" customFormat="1">
      <c r="I78" s="15"/>
    </row>
    <row r="79" spans="9:9" s="10" customFormat="1">
      <c r="I79" s="15"/>
    </row>
    <row r="80" spans="9:9" s="10" customFormat="1">
      <c r="I80" s="15"/>
    </row>
    <row r="81" spans="9:9" s="10" customFormat="1">
      <c r="I81" s="15"/>
    </row>
    <row r="82" spans="9:9" s="10" customFormat="1">
      <c r="I82" s="15"/>
    </row>
    <row r="83" spans="9:9" s="10" customFormat="1">
      <c r="I83" s="15"/>
    </row>
    <row r="84" spans="9:9" s="10" customFormat="1">
      <c r="I84" s="15"/>
    </row>
    <row r="85" spans="9:9" s="10" customFormat="1">
      <c r="I85" s="15"/>
    </row>
    <row r="86" spans="9:9" s="10" customFormat="1">
      <c r="I86" s="15"/>
    </row>
    <row r="87" spans="9:9" s="10" customFormat="1">
      <c r="I87" s="15"/>
    </row>
    <row r="88" spans="9:9" s="10" customFormat="1">
      <c r="I88" s="15"/>
    </row>
    <row r="89" spans="9:9" s="10" customFormat="1">
      <c r="I89" s="15"/>
    </row>
    <row r="90" spans="9:9" s="10" customFormat="1">
      <c r="I90" s="15"/>
    </row>
    <row r="91" spans="9:9" s="10" customFormat="1">
      <c r="I91" s="15"/>
    </row>
    <row r="92" spans="9:9" s="10" customFormat="1">
      <c r="I92" s="15"/>
    </row>
    <row r="93" spans="9:9" s="10" customFormat="1">
      <c r="I93" s="15"/>
    </row>
    <row r="94" spans="9:9" s="10" customFormat="1">
      <c r="I94" s="15"/>
    </row>
    <row r="95" spans="9:9" s="10" customFormat="1">
      <c r="I95" s="15"/>
    </row>
    <row r="96" spans="9:9" s="10" customFormat="1">
      <c r="I96" s="15"/>
    </row>
    <row r="97" spans="9:9" s="10" customFormat="1">
      <c r="I97" s="15"/>
    </row>
    <row r="98" spans="9:9" s="10" customFormat="1">
      <c r="I98" s="15"/>
    </row>
    <row r="99" spans="9:9" s="10" customFormat="1">
      <c r="I99" s="15"/>
    </row>
    <row r="100" spans="9:9" s="10" customFormat="1">
      <c r="I100" s="15"/>
    </row>
    <row r="101" spans="9:9" s="10" customFormat="1">
      <c r="I101" s="15"/>
    </row>
    <row r="102" spans="9:9" s="10" customFormat="1">
      <c r="I102" s="15"/>
    </row>
    <row r="103" spans="9:9" s="10" customFormat="1">
      <c r="I103" s="15"/>
    </row>
    <row r="104" spans="9:9" s="10" customFormat="1">
      <c r="I104" s="15"/>
    </row>
    <row r="105" spans="9:9" s="10" customFormat="1">
      <c r="I105" s="15"/>
    </row>
    <row r="106" spans="9:9" s="10" customFormat="1">
      <c r="I106" s="15"/>
    </row>
    <row r="107" spans="9:9" s="10" customFormat="1">
      <c r="I107" s="15"/>
    </row>
    <row r="108" spans="9:9" s="10" customFormat="1">
      <c r="I108" s="15"/>
    </row>
    <row r="109" spans="9:9" s="10" customFormat="1">
      <c r="I109" s="15"/>
    </row>
    <row r="110" spans="9:9" s="10" customFormat="1">
      <c r="I110" s="15"/>
    </row>
    <row r="111" spans="9:9" s="10" customFormat="1">
      <c r="I111" s="15"/>
    </row>
    <row r="112" spans="9:9" s="10" customFormat="1">
      <c r="I112" s="15"/>
    </row>
    <row r="113" spans="9:9" s="10" customFormat="1">
      <c r="I113" s="15"/>
    </row>
    <row r="114" spans="9:9" s="10" customFormat="1">
      <c r="I114" s="15"/>
    </row>
    <row r="115" spans="9:9" s="10" customFormat="1">
      <c r="I115" s="15"/>
    </row>
    <row r="116" spans="9:9" s="10" customFormat="1">
      <c r="I116" s="15"/>
    </row>
    <row r="117" spans="9:9" s="10" customFormat="1">
      <c r="I117" s="15"/>
    </row>
    <row r="118" spans="9:9" s="10" customFormat="1">
      <c r="I118" s="15"/>
    </row>
    <row r="119" spans="9:9" s="10" customFormat="1">
      <c r="I119" s="15"/>
    </row>
    <row r="120" spans="9:9" s="10" customFormat="1">
      <c r="I120" s="15"/>
    </row>
    <row r="121" spans="9:9" s="10" customFormat="1">
      <c r="I121" s="15"/>
    </row>
    <row r="122" spans="9:9" s="10" customFormat="1">
      <c r="I122" s="15"/>
    </row>
    <row r="123" spans="9:9" s="10" customFormat="1">
      <c r="I123" s="15"/>
    </row>
    <row r="124" spans="9:9" s="10" customFormat="1">
      <c r="I124" s="15"/>
    </row>
    <row r="125" spans="9:9" s="10" customFormat="1">
      <c r="I125" s="15"/>
    </row>
    <row r="126" spans="9:9" s="10" customFormat="1">
      <c r="I126" s="15"/>
    </row>
    <row r="127" spans="9:9" s="10" customFormat="1">
      <c r="I127" s="15"/>
    </row>
    <row r="128" spans="9:9" s="10" customFormat="1">
      <c r="I128" s="15"/>
    </row>
    <row r="129" spans="9:9" s="10" customFormat="1">
      <c r="I129" s="15"/>
    </row>
    <row r="130" spans="9:9" s="10" customFormat="1">
      <c r="I130" s="15"/>
    </row>
    <row r="131" spans="9:9" s="10" customFormat="1">
      <c r="I131" s="15"/>
    </row>
    <row r="132" spans="9:9" s="10" customFormat="1">
      <c r="I132" s="15"/>
    </row>
    <row r="133" spans="9:9" s="10" customFormat="1">
      <c r="I133" s="15"/>
    </row>
    <row r="134" spans="9:9" s="10" customFormat="1">
      <c r="I134" s="15"/>
    </row>
    <row r="135" spans="9:9" s="10" customFormat="1">
      <c r="I135" s="15"/>
    </row>
    <row r="136" spans="9:9" s="10" customFormat="1">
      <c r="I136" s="15"/>
    </row>
    <row r="137" spans="9:9" s="10" customFormat="1">
      <c r="I137" s="15"/>
    </row>
    <row r="138" spans="9:9" s="10" customFormat="1">
      <c r="I138" s="15"/>
    </row>
    <row r="139" spans="9:9" s="10" customFormat="1">
      <c r="I139" s="15"/>
    </row>
    <row r="140" spans="9:9" s="10" customFormat="1">
      <c r="I140" s="15"/>
    </row>
    <row r="141" spans="9:9" s="10" customFormat="1">
      <c r="I141" s="15"/>
    </row>
    <row r="142" spans="9:9" s="10" customFormat="1">
      <c r="I142" s="15"/>
    </row>
    <row r="143" spans="9:9" s="10" customFormat="1">
      <c r="I143" s="15"/>
    </row>
    <row r="144" spans="9:9" s="10" customFormat="1">
      <c r="I144" s="15"/>
    </row>
    <row r="145" spans="9:9" s="10" customFormat="1">
      <c r="I145" s="15"/>
    </row>
    <row r="146" spans="9:9" s="10" customFormat="1">
      <c r="I146" s="15"/>
    </row>
    <row r="147" spans="9:9" s="10" customFormat="1">
      <c r="I147" s="15"/>
    </row>
    <row r="148" spans="9:9" s="10" customFormat="1">
      <c r="I148" s="15"/>
    </row>
    <row r="149" spans="9:9" s="10" customFormat="1">
      <c r="I149" s="15"/>
    </row>
    <row r="150" spans="9:9" s="10" customFormat="1">
      <c r="I150" s="15"/>
    </row>
    <row r="151" spans="9:9" s="10" customFormat="1">
      <c r="I151" s="15"/>
    </row>
    <row r="152" spans="9:9" s="10" customFormat="1">
      <c r="I152" s="15"/>
    </row>
    <row r="153" spans="9:9" s="10" customFormat="1">
      <c r="I153" s="15"/>
    </row>
    <row r="154" spans="9:9" s="10" customFormat="1">
      <c r="I154" s="15"/>
    </row>
    <row r="155" spans="9:9" s="10" customFormat="1">
      <c r="I155" s="15"/>
    </row>
    <row r="156" spans="9:9" s="10" customFormat="1">
      <c r="I156" s="15"/>
    </row>
    <row r="157" spans="9:9" s="10" customFormat="1">
      <c r="I157" s="15"/>
    </row>
    <row r="158" spans="9:9" s="10" customFormat="1">
      <c r="I158" s="15"/>
    </row>
    <row r="159" spans="9:9" s="10" customFormat="1">
      <c r="I159" s="15"/>
    </row>
    <row r="160" spans="9:9" s="10" customFormat="1">
      <c r="I160" s="15"/>
    </row>
    <row r="161" spans="9:9" s="10" customFormat="1">
      <c r="I161" s="15"/>
    </row>
    <row r="162" spans="9:9" s="10" customFormat="1">
      <c r="I162" s="15"/>
    </row>
    <row r="163" spans="9:9" s="10" customFormat="1">
      <c r="I163" s="15"/>
    </row>
    <row r="164" spans="9:9" s="10" customFormat="1">
      <c r="I164" s="15"/>
    </row>
    <row r="165" spans="9:9" s="10" customFormat="1">
      <c r="I165" s="15"/>
    </row>
    <row r="166" spans="9:9" s="10" customFormat="1">
      <c r="I166" s="15"/>
    </row>
    <row r="167" spans="9:9" s="10" customFormat="1">
      <c r="I167" s="15"/>
    </row>
    <row r="168" spans="9:9" s="10" customFormat="1">
      <c r="I168" s="15"/>
    </row>
    <row r="169" spans="9:9" s="10" customFormat="1">
      <c r="I169" s="15"/>
    </row>
    <row r="170" spans="9:9" s="10" customFormat="1">
      <c r="I170" s="15"/>
    </row>
    <row r="171" spans="9:9" s="10" customFormat="1">
      <c r="I171" s="15"/>
    </row>
    <row r="172" spans="9:9" s="10" customFormat="1">
      <c r="I172" s="15"/>
    </row>
    <row r="173" spans="9:9" s="10" customFormat="1">
      <c r="I173" s="15"/>
    </row>
    <row r="174" spans="9:9" s="10" customFormat="1">
      <c r="I174" s="15"/>
    </row>
    <row r="175" spans="9:9" s="10" customFormat="1">
      <c r="I175" s="15"/>
    </row>
    <row r="176" spans="9:9" s="10" customFormat="1">
      <c r="I176" s="15"/>
    </row>
    <row r="177" spans="9:9" s="10" customFormat="1">
      <c r="I177" s="15"/>
    </row>
    <row r="178" spans="9:9" s="10" customFormat="1">
      <c r="I178" s="15"/>
    </row>
    <row r="179" spans="9:9" s="10" customFormat="1">
      <c r="I179" s="15"/>
    </row>
    <row r="180" spans="9:9" s="10" customFormat="1">
      <c r="I180" s="15"/>
    </row>
    <row r="181" spans="9:9" s="10" customFormat="1">
      <c r="I181" s="15"/>
    </row>
    <row r="182" spans="9:9" s="10" customFormat="1">
      <c r="I182" s="15"/>
    </row>
    <row r="183" spans="9:9" s="10" customFormat="1">
      <c r="I183" s="15"/>
    </row>
    <row r="184" spans="9:9" s="10" customFormat="1">
      <c r="I184" s="15"/>
    </row>
    <row r="185" spans="9:9" s="10" customFormat="1">
      <c r="I185" s="15"/>
    </row>
    <row r="186" spans="9:9" s="10" customFormat="1">
      <c r="I186" s="15"/>
    </row>
    <row r="187" spans="9:9" s="10" customFormat="1">
      <c r="I187" s="15"/>
    </row>
    <row r="188" spans="9:9" s="10" customFormat="1">
      <c r="I188" s="15"/>
    </row>
    <row r="189" spans="9:9" s="10" customFormat="1">
      <c r="I189" s="15"/>
    </row>
    <row r="190" spans="9:9" s="10" customFormat="1">
      <c r="I190" s="15"/>
    </row>
    <row r="191" spans="9:9" s="10" customFormat="1">
      <c r="I191" s="15"/>
    </row>
    <row r="192" spans="9:9" s="10" customFormat="1">
      <c r="I192" s="15"/>
    </row>
    <row r="193" spans="9:9" s="10" customFormat="1">
      <c r="I193" s="15"/>
    </row>
    <row r="194" spans="9:9" s="10" customFormat="1">
      <c r="I194" s="15"/>
    </row>
    <row r="195" spans="9:9" s="10" customFormat="1">
      <c r="I195" s="15"/>
    </row>
    <row r="196" spans="9:9" s="10" customFormat="1">
      <c r="I196" s="15"/>
    </row>
    <row r="197" spans="9:9" s="10" customFormat="1">
      <c r="I197" s="15"/>
    </row>
    <row r="198" spans="9:9" s="10" customFormat="1">
      <c r="I198" s="15"/>
    </row>
    <row r="199" spans="9:9" s="10" customFormat="1">
      <c r="I199" s="15"/>
    </row>
    <row r="200" spans="9:9" s="10" customFormat="1">
      <c r="I200" s="15"/>
    </row>
    <row r="201" spans="9:9" s="10" customFormat="1">
      <c r="I201" s="15"/>
    </row>
    <row r="202" spans="9:9" s="10" customFormat="1">
      <c r="I202" s="15"/>
    </row>
    <row r="203" spans="9:9" s="10" customFormat="1">
      <c r="I203" s="15"/>
    </row>
    <row r="204" spans="9:9" s="10" customFormat="1">
      <c r="I204" s="15"/>
    </row>
    <row r="205" spans="9:9" s="10" customFormat="1">
      <c r="I205" s="15"/>
    </row>
    <row r="206" spans="9:9" s="10" customFormat="1">
      <c r="I206" s="15"/>
    </row>
    <row r="207" spans="9:9" s="10" customFormat="1">
      <c r="I207" s="15"/>
    </row>
    <row r="208" spans="9:9" s="10" customFormat="1">
      <c r="I208" s="15"/>
    </row>
    <row r="209" spans="9:9" s="10" customFormat="1">
      <c r="I209" s="15"/>
    </row>
    <row r="210" spans="9:9" s="10" customFormat="1">
      <c r="I210" s="15"/>
    </row>
    <row r="211" spans="9:9" s="10" customFormat="1">
      <c r="I211" s="15"/>
    </row>
    <row r="212" spans="9:9" s="10" customFormat="1">
      <c r="I212" s="15"/>
    </row>
    <row r="213" spans="9:9" s="10" customFormat="1">
      <c r="I213" s="15"/>
    </row>
    <row r="214" spans="9:9" s="10" customFormat="1">
      <c r="I214" s="15"/>
    </row>
    <row r="215" spans="9:9" s="10" customFormat="1">
      <c r="I215" s="15"/>
    </row>
    <row r="216" spans="9:9" s="10" customFormat="1">
      <c r="I216" s="15"/>
    </row>
    <row r="217" spans="9:9" s="10" customFormat="1">
      <c r="I217" s="15"/>
    </row>
    <row r="218" spans="9:9" s="10" customFormat="1">
      <c r="I218" s="15"/>
    </row>
  </sheetData>
  <sheetProtection algorithmName="SHA-512" hashValue="CYwavY5KmQaGZGQosFVtoRCvSp9nVWiBDpVxzUby3rbGBZudeUW6Q8To1CGCoP7cmTZPsy4GYiAbpbJRvW6AJw==" saltValue="aPETxXWUvIvzrSlC5TXK2g==" spinCount="100000" sheet="1" formatColumns="0" formatRows="0" insertRows="0"/>
  <mergeCells count="36">
    <mergeCell ref="A31:A33"/>
    <mergeCell ref="B31:B33"/>
    <mergeCell ref="C33:G33"/>
    <mergeCell ref="C31:G31"/>
    <mergeCell ref="C32:G32"/>
    <mergeCell ref="C17:G17"/>
    <mergeCell ref="C5:G5"/>
    <mergeCell ref="C10:G10"/>
    <mergeCell ref="I12:I18"/>
    <mergeCell ref="C38:H38"/>
    <mergeCell ref="C12:G12"/>
    <mergeCell ref="C13:G13"/>
    <mergeCell ref="C14:G14"/>
    <mergeCell ref="C36:H36"/>
    <mergeCell ref="C37:H37"/>
    <mergeCell ref="C26:G26"/>
    <mergeCell ref="I22:I26"/>
    <mergeCell ref="C15:G15"/>
    <mergeCell ref="C27:G27"/>
    <mergeCell ref="C30:G30"/>
    <mergeCell ref="C2:H2"/>
    <mergeCell ref="C9:H9"/>
    <mergeCell ref="C29:H29"/>
    <mergeCell ref="C20:H20"/>
    <mergeCell ref="C3:H3"/>
    <mergeCell ref="C4:H4"/>
    <mergeCell ref="C21:H21"/>
    <mergeCell ref="C18:G18"/>
    <mergeCell ref="C11:G11"/>
    <mergeCell ref="C22:G22"/>
    <mergeCell ref="C23:G23"/>
    <mergeCell ref="C24:G24"/>
    <mergeCell ref="C25:G25"/>
    <mergeCell ref="C6:G6"/>
    <mergeCell ref="C7:G7"/>
    <mergeCell ref="C16:G16"/>
  </mergeCells>
  <phoneticPr fontId="3" type="noConversion"/>
  <conditionalFormatting sqref="H6:H7">
    <cfRule type="expression" dxfId="97" priority="7">
      <formula>$H$5=TRUE</formula>
    </cfRule>
  </conditionalFormatting>
  <conditionalFormatting sqref="H12:H16">
    <cfRule type="expression" dxfId="96" priority="6">
      <formula>$H$10=TRUE</formula>
    </cfRule>
  </conditionalFormatting>
  <conditionalFormatting sqref="H18">
    <cfRule type="expression" dxfId="95" priority="5">
      <formula>$H$10=TRUE</formula>
    </cfRule>
  </conditionalFormatting>
  <conditionalFormatting sqref="H31:H32">
    <cfRule type="expression" dxfId="94" priority="4">
      <formula>$H$30=TRUE</formula>
    </cfRule>
  </conditionalFormatting>
  <conditionalFormatting sqref="I6:I7">
    <cfRule type="expression" dxfId="93" priority="3">
      <formula>$I6="MISSING VALUE"</formula>
    </cfRule>
    <cfRule type="expression" dxfId="92" priority="25">
      <formula>$I6="OK"</formula>
    </cfRule>
  </conditionalFormatting>
  <conditionalFormatting sqref="I12:I18">
    <cfRule type="expression" dxfId="91" priority="1">
      <formula>$I$12="MISSING VALUE"</formula>
    </cfRule>
    <cfRule type="expression" dxfId="90" priority="11">
      <formula>$I$12="VALUE INCONSISTENCY"</formula>
    </cfRule>
    <cfRule type="expression" dxfId="89" priority="12">
      <formula>$I$12="OK"</formula>
    </cfRule>
  </conditionalFormatting>
  <conditionalFormatting sqref="I22">
    <cfRule type="expression" dxfId="88" priority="8">
      <formula>$I$22="OK"</formula>
    </cfRule>
    <cfRule type="expression" dxfId="87" priority="9">
      <formula>$I$22="MISSING VALUE"</formula>
    </cfRule>
  </conditionalFormatting>
  <conditionalFormatting sqref="I27">
    <cfRule type="expression" dxfId="86" priority="18">
      <formula>$I$27="OK"</formula>
    </cfRule>
  </conditionalFormatting>
  <conditionalFormatting sqref="I30:I32">
    <cfRule type="expression" dxfId="85" priority="17">
      <formula>$I30="OK"</formula>
    </cfRule>
  </conditionalFormatting>
  <conditionalFormatting sqref="I31:I32">
    <cfRule type="expression" dxfId="84" priority="2">
      <formula>$I31="MISSING VALUE"</formula>
    </cfRule>
  </conditionalFormatting>
  <conditionalFormatting sqref="I38">
    <cfRule type="expression" dxfId="83" priority="10">
      <formula>$I$38="OK"</formula>
    </cfRule>
  </conditionalFormatting>
  <dataValidations count="12">
    <dataValidation type="decimal" operator="equal" allowBlank="1" showInputMessage="1" showErrorMessage="1" promptTitle="Warning (if applicable)" prompt="This disclosure is applicable only if the undertaking has incurred in cases of convinctions and fines in the reporting period." sqref="H7">
      <formula1>H7</formula1>
    </dataValidation>
    <dataValidation type="whole" operator="equal" allowBlank="1" showInputMessage="1" showErrorMessage="1" promptTitle="Warning (if applicable)" prompt="This disclosure is applicable only when the undertaking has a governance body in place." sqref="H31:H32">
      <formula1>H31</formula1>
    </dataValidation>
    <dataValidation type="custom" showInputMessage="1" showErrorMessage="1" sqref="H24">
      <formula1>IF(H26=TRUE, FALSE, TRUE)</formula1>
    </dataValidation>
    <dataValidation type="custom" allowBlank="1" showInputMessage="1" showErrorMessage="1" sqref="H25">
      <formula1>IF(H26=TRUE, FALSE, TRUE)</formula1>
    </dataValidation>
    <dataValidation type="custom" showInputMessage="1" showErrorMessage="1" sqref="H33">
      <formula1>IF(AND(H31&lt;&gt;"",H32&lt;&gt;""),$H$31/$H$32,"-")</formula1>
    </dataValidation>
    <dataValidation allowBlank="1" showInputMessage="1" showErrorMessage="1" promptTitle="Board gender diversity ratio" prompt="number of female board members / number of male board members" sqref="C33:G33"/>
    <dataValidation type="whole" operator="equal" allowBlank="1" showInputMessage="1" showErrorMessage="1" promptTitle="Warning (if applicable)" prompt="This disclosure is applicable only if the undertaking has incurred in cases of convinctions and fines in the reporting period." sqref="H6">
      <formula1>H6</formula1>
    </dataValidation>
    <dataValidation type="custom" showInputMessage="1" showErrorMessage="1" sqref="H22">
      <formula1>IF(H26=TRUE, FALSE, TRUE)</formula1>
    </dataValidation>
    <dataValidation type="custom" showInputMessage="1" showErrorMessage="1" sqref="H26">
      <formula1>IF(OR(H22=TRUE, H23=TRUE, H24=TRUE, H25=TRUE), H26=FALSE, TRUE)</formula1>
    </dataValidation>
    <dataValidation type="custom" showInputMessage="1" showErrorMessage="1" sqref="H23">
      <formula1>IF(H26=TRUE, FALSE, TRUE)</formula1>
    </dataValidation>
    <dataValidation type="custom" showInputMessage="1" showErrorMessage="1" sqref="H11">
      <formula1>IF(H16=TRUE, FALSE, TRUE)</formula1>
    </dataValidation>
    <dataValidation type="custom" showInputMessage="1" showErrorMessage="1" sqref="H5 H10 H30">
      <formula1>OR(H5=TRUE,H5=FALSE)</formula1>
    </dataValidation>
  </dataValidations>
  <hyperlinks>
    <hyperlink ref="B31" r:id="rId1" location="id-430"/>
    <hyperlink ref="C4" r:id="rId2" location="id-390"/>
    <hyperlink ref="C3" r:id="rId3" location="id-101" display="https://xbrl.efrag.org/e-esrs/2024-12-17-efrag-vsme.xhtml - id-101"/>
    <hyperlink ref="A12" r:id="rId4" location="id-152"/>
    <hyperlink ref="A13" r:id="rId5" location="id-153"/>
    <hyperlink ref="A14" r:id="rId6" location="id-154"/>
    <hyperlink ref="A18" r:id="rId7" location="id-155"/>
    <hyperlink ref="A31" r:id="rId8" location="id-157" display="https://xbrl.efrag.org/e-esrs/2024-12-17-efrag-vsme.xhtml - id-157"/>
    <hyperlink ref="B27" r:id="rId9" location="id-425" display="https://xbrl.efrag.org/e-esrs/2024-12-17-efrag-vsme.xhtml - id-425"/>
    <hyperlink ref="B22" r:id="rId10" location="id-426"/>
    <hyperlink ref="B23" r:id="rId11" location="id-427"/>
    <hyperlink ref="B24" r:id="rId12" location="id-428"/>
    <hyperlink ref="B25" r:id="rId13" location="id-429"/>
    <hyperlink ref="C37" r:id="rId14" location="id-30" display="https://xbrl.efrag.org/e-esrs/2024-12-17-efrag-vsme.xhtml - id-30"/>
    <hyperlink ref="B12" r:id="rId15" location="id-423" display="239-240"/>
    <hyperlink ref="A15:A17" r:id="rId16" location="id-154" display="63(c)"/>
    <hyperlink ref="B13:B18" r:id="rId17" location="id-423" display="239-240"/>
  </hyperlinks>
  <pageMargins left="0.25" right="0.25" top="0.75" bottom="0.75" header="0.3" footer="0.3"/>
  <pageSetup paperSize="9" scale="30" fitToHeight="0" orientation="landscape" r:id="rId18"/>
  <drawing r:id="rId19"/>
  <extLst>
    <ext xmlns:x14="http://schemas.microsoft.com/office/spreadsheetml/2009/9/main" uri="{78C0D931-6437-407d-A8EE-F0AAD7539E65}">
      <x14:conditionalFormattings>
        <x14:conditionalFormatting xmlns:xm="http://schemas.microsoft.com/office/excel/2006/main">
          <x14:cfRule type="iconSet" priority="16" id="{3E49E481-2568-46BD-8EBE-FE7713E3A7A2}">
            <x14:iconSet iconSet="3Symbols" custom="1">
              <x14:cfvo type="percent">
                <xm:f>0</xm:f>
              </x14:cfvo>
              <x14:cfvo type="formula">
                <xm:f>$H$22=FALSE</xm:f>
              </x14:cfvo>
              <x14:cfvo type="formula">
                <xm:f>$H$22=TRUE</xm:f>
              </x14:cfvo>
              <x14:cfIcon iconSet="3Symbols" iconId="0"/>
              <x14:cfIcon iconSet="3Symbols" iconId="0"/>
              <x14:cfIcon iconSet="3Symbols" iconId="2"/>
            </x14:iconSet>
          </x14:cfRule>
          <xm:sqref>I22</xm:sqref>
        </x14:conditionalFormatting>
      </x14:conditionalFormattings>
    </ext>
    <ext xmlns:x14="http://schemas.microsoft.com/office/spreadsheetml/2009/9/main" uri="{CCE6A557-97BC-4b89-ADB6-D9C93CAAB3DF}">
      <x14:dataValidations xmlns:xm="http://schemas.microsoft.com/office/excel/2006/main" count="7">
        <x14:dataValidation type="custom" showInputMessage="1" showErrorMessage="1" promptTitle="Warning (if applicable)" prompt="This disclosure is applicable only if the undertaking operates in one or more of these sectors.">
          <x14:formula1>
            <xm:f>($H$12+$H$13+$H$14+$H$18)&lt;='General Information'!$E$61</xm:f>
          </x14:formula1>
          <xm:sqref>H17</xm:sqref>
        </x14:dataValidation>
        <x14:dataValidation type="custom" showInputMessage="1" showErrorMessage="1" promptTitle="Warning (if applicable)" prompt="This disclosure is applicable only if the undertaking is a manufacturer of pesticides and other agrochemical products.">
          <x14:formula1>
            <xm:f>($H$12+$H$13+$H$14+$H$15+$H$16+$H$18)&lt;='General Information'!$E$61</xm:f>
          </x14:formula1>
          <xm:sqref>H18</xm:sqref>
        </x14:dataValidation>
        <x14:dataValidation type="custom" showInputMessage="1" showErrorMessage="1" promptTitle="Warning (if applicable)" prompt="This disclosure is applicable only if the undertaking derives revenues from gas.">
          <x14:formula1>
            <xm:f>($H$12+$H$13+$H$14+$H$15+$H$16+$H$18)&lt;='General Information'!$E$61</xm:f>
          </x14:formula1>
          <xm:sqref>H16</xm:sqref>
        </x14:dataValidation>
        <x14:dataValidation type="custom" showInputMessage="1" showErrorMessage="1" promptTitle="Warning (if applicable)" prompt="This disclosure is applicable only if the undertaking derives revenues from controversial weapons.">
          <x14:formula1>
            <xm:f>($H$12+$H$13+$H$14+$H$15+$H$16+$H$18)&lt;='General Information'!$E$61</xm:f>
          </x14:formula1>
          <xm:sqref>H12</xm:sqref>
        </x14:dataValidation>
        <x14:dataValidation type="custom" showInputMessage="1" showErrorMessage="1" promptTitle="Warning (if applicable)" prompt="This disclosure is applicable only if the undertaking derives revenues from cultivation and production of tobacco.">
          <x14:formula1>
            <xm:f>($H$12+$H$13+$H$14+$H$15+$H$16+$H$18)&lt;='General Information'!$E$61</xm:f>
          </x14:formula1>
          <xm:sqref>H13</xm:sqref>
        </x14:dataValidation>
        <x14:dataValidation type="custom" showInputMessage="1" showErrorMessage="1" promptTitle="Warning (if applicable)" prompt="This disclosure is applicable only if the undertaking derives revenues from coal.,">
          <x14:formula1>
            <xm:f>($H$12+$H$13+$H$14+$H$15+$H$16+$H$18)&lt;='General Information'!$E$61</xm:f>
          </x14:formula1>
          <xm:sqref>H14</xm:sqref>
        </x14:dataValidation>
        <x14:dataValidation type="custom" showInputMessage="1" showErrorMessage="1" promptTitle="Warning (if applicable)" prompt="This disclosure is applicable only if the undertaking derives revenues from oil.">
          <x14:formula1>
            <xm:f>($H$12+$H$13+$H$14+$H$15+$H$16+$H$18)&lt;='General Information'!$E$61</xm:f>
          </x14:formula1>
          <xm:sqref>H15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T140"/>
  <sheetViews>
    <sheetView topLeftCell="A43" zoomScaleNormal="100" workbookViewId="0"/>
  </sheetViews>
  <sheetFormatPr baseColWidth="10" defaultColWidth="8.875" defaultRowHeight="14.25" outlineLevelCol="1"/>
  <cols>
    <col min="1" max="1" width="36.375" bestFit="1" customWidth="1"/>
    <col min="2" max="2" width="31.875" bestFit="1" customWidth="1"/>
    <col min="3" max="3" width="68.875" style="10" customWidth="1"/>
    <col min="4" max="4" width="27.5" style="10" customWidth="1"/>
    <col min="5" max="5" width="10.625" style="10" customWidth="1"/>
    <col min="6" max="6" width="16.5" style="10" customWidth="1"/>
    <col min="7" max="7" width="17" style="10" customWidth="1"/>
    <col min="8" max="8" width="20.5" style="10" customWidth="1"/>
    <col min="9" max="9" width="23.5" style="10" customWidth="1"/>
    <col min="10" max="10" width="14.625" style="10" customWidth="1"/>
    <col min="11" max="11" width="24.5" style="10" hidden="1" customWidth="1" outlineLevel="1"/>
    <col min="12" max="12" width="25" style="10" hidden="1" customWidth="1" outlineLevel="1"/>
    <col min="13" max="13" width="67.5" style="10" hidden="1" customWidth="1" outlineLevel="1"/>
    <col min="14" max="14" width="15.5" style="10" customWidth="1" collapsed="1"/>
    <col min="15" max="15" width="24.5" style="10" hidden="1" customWidth="1" outlineLevel="1"/>
    <col min="16" max="16" width="25" style="10" hidden="1" customWidth="1" outlineLevel="1"/>
    <col min="17" max="17" width="62.375" style="10" hidden="1" customWidth="1" outlineLevel="1"/>
    <col min="18" max="18" width="19.5" style="10" customWidth="1" collapsed="1"/>
    <col min="19" max="19" width="24.5" style="10" hidden="1" customWidth="1" outlineLevel="1"/>
    <col min="20" max="20" width="25" style="10" hidden="1" customWidth="1" outlineLevel="1"/>
    <col min="21" max="21" width="34.5" style="10" hidden="1" customWidth="1" outlineLevel="1"/>
    <col min="22" max="22" width="23.5" style="10" customWidth="1" collapsed="1"/>
    <col min="23" max="23" width="24.5" style="10" hidden="1" customWidth="1" outlineLevel="1"/>
    <col min="24" max="24" width="25" style="10" hidden="1" customWidth="1" outlineLevel="1"/>
    <col min="25" max="25" width="33.5" style="10" hidden="1" customWidth="1" outlineLevel="1"/>
    <col min="26" max="26" width="8.625" style="10" collapsed="1"/>
    <col min="27" max="27" width="24.5" style="10" hidden="1" customWidth="1" outlineLevel="1"/>
    <col min="28" max="28" width="25" style="10" hidden="1" customWidth="1" outlineLevel="1"/>
    <col min="29" max="29" width="46.5" style="10" hidden="1" customWidth="1" outlineLevel="1"/>
    <col min="30" max="30" width="8.625" style="10" collapsed="1"/>
    <col min="31" max="31" width="24.5" style="10" hidden="1" customWidth="1" outlineLevel="1"/>
    <col min="32" max="32" width="25" style="10" hidden="1" customWidth="1" outlineLevel="1"/>
    <col min="33" max="33" width="42" style="10" hidden="1" customWidth="1" outlineLevel="1"/>
    <col min="34" max="34" width="8.625" style="10" collapsed="1"/>
    <col min="35" max="35" width="24.5" style="10" hidden="1" customWidth="1" outlineLevel="1"/>
    <col min="36" max="36" width="25" style="10" hidden="1" customWidth="1" outlineLevel="1"/>
    <col min="37" max="37" width="39.625" hidden="1" customWidth="1" outlineLevel="1"/>
    <col min="38" max="38" width="9.375" style="10" collapsed="1"/>
    <col min="39" max="39" width="24.5" hidden="1" customWidth="1" outlineLevel="1"/>
    <col min="40" max="40" width="25" hidden="1" customWidth="1" outlineLevel="1"/>
    <col min="41" max="41" width="42.5" hidden="1" customWidth="1" outlineLevel="1"/>
    <col min="42" max="42" width="9.375" style="10" collapsed="1"/>
    <col min="43" max="43" width="24.5" style="10" hidden="1" customWidth="1" outlineLevel="1"/>
    <col min="44" max="44" width="25" style="10" hidden="1" customWidth="1" outlineLevel="1"/>
    <col min="45" max="45" width="45.75" style="10" hidden="1" customWidth="1" outlineLevel="1"/>
    <col min="46" max="46" width="9.375" style="10" collapsed="1"/>
    <col min="47" max="16382" width="9.375" style="10"/>
    <col min="16383" max="16384" width="8.625" style="10" bestFit="1" customWidth="1"/>
  </cols>
  <sheetData>
    <row r="1" spans="1:45" ht="28.5" customHeight="1" thickTop="1" thickBot="1">
      <c r="A1" s="70" t="s">
        <v>3645</v>
      </c>
      <c r="B1" s="10"/>
      <c r="AK1" s="10"/>
      <c r="AM1" s="10"/>
      <c r="AN1" s="10"/>
      <c r="AO1" s="10"/>
    </row>
    <row r="2" spans="1:45" ht="40.15" customHeight="1" thickTop="1">
      <c r="A2" s="21"/>
      <c r="B2" s="10"/>
      <c r="AK2" s="10"/>
      <c r="AM2" s="10"/>
      <c r="AN2" s="10"/>
      <c r="AO2" s="10"/>
    </row>
    <row r="3" spans="1:45" ht="154.15" customHeight="1">
      <c r="A3" s="1068" t="s">
        <v>4395</v>
      </c>
      <c r="B3" s="1068"/>
      <c r="C3" s="1068"/>
      <c r="D3" s="1068"/>
      <c r="E3" s="1068"/>
      <c r="F3" s="1068"/>
      <c r="G3" s="1068"/>
      <c r="H3" s="1068"/>
      <c r="I3" s="1068"/>
      <c r="J3" s="1068"/>
      <c r="AK3" s="10"/>
      <c r="AM3" s="10"/>
      <c r="AN3" s="10"/>
      <c r="AO3" s="10"/>
    </row>
    <row r="4" spans="1:45" ht="40.15" customHeight="1" thickBot="1">
      <c r="A4" s="100"/>
      <c r="B4" s="100"/>
      <c r="C4" s="100"/>
      <c r="D4" s="100"/>
      <c r="E4" s="100"/>
      <c r="F4" s="100"/>
      <c r="G4" s="100"/>
      <c r="H4" s="100"/>
      <c r="I4" s="100"/>
      <c r="AK4" s="10"/>
      <c r="AM4" s="10"/>
      <c r="AN4" s="10"/>
      <c r="AO4" s="10"/>
    </row>
    <row r="5" spans="1:45" ht="35.450000000000003" customHeight="1" thickBot="1">
      <c r="A5" s="102"/>
      <c r="B5" s="1067" t="s">
        <v>4642</v>
      </c>
      <c r="C5" s="1067"/>
      <c r="D5" s="1067"/>
      <c r="E5" s="100"/>
      <c r="F5" s="100"/>
      <c r="G5" s="100"/>
      <c r="H5" s="100"/>
      <c r="I5" s="100"/>
      <c r="AK5" s="10"/>
      <c r="AM5" s="10"/>
      <c r="AN5" s="10"/>
      <c r="AO5" s="10"/>
    </row>
    <row r="6" spans="1:45" ht="44.45" customHeight="1" thickBot="1">
      <c r="A6" s="67" t="s">
        <v>4296</v>
      </c>
      <c r="B6" s="1067" t="s">
        <v>3765</v>
      </c>
      <c r="C6" s="1067"/>
      <c r="D6" s="1067"/>
      <c r="E6" s="100"/>
      <c r="F6" s="100"/>
      <c r="G6" s="100"/>
      <c r="H6" s="100"/>
      <c r="I6" s="100"/>
      <c r="AK6" s="10"/>
      <c r="AM6" s="10"/>
      <c r="AN6" s="10"/>
      <c r="AO6" s="10"/>
    </row>
    <row r="7" spans="1:45" ht="51.6" customHeight="1" thickBot="1">
      <c r="A7" s="103" t="e" vm="1">
        <v>#VALUE!</v>
      </c>
      <c r="B7" s="1067" t="s">
        <v>4643</v>
      </c>
      <c r="C7" s="1067"/>
      <c r="D7" s="1067"/>
      <c r="E7" s="100"/>
      <c r="F7" s="100"/>
      <c r="G7" s="100"/>
      <c r="H7" s="100"/>
      <c r="I7" s="100"/>
      <c r="AK7" s="10"/>
      <c r="AM7" s="10"/>
      <c r="AN7" s="10"/>
      <c r="AO7" s="10"/>
    </row>
    <row r="8" spans="1:45" ht="40.15" customHeight="1">
      <c r="A8" s="21"/>
      <c r="B8" s="10"/>
      <c r="AB8" s="101"/>
      <c r="AK8" s="10"/>
      <c r="AM8" s="10"/>
      <c r="AN8" s="10"/>
      <c r="AO8" s="10"/>
    </row>
    <row r="9" spans="1:45" ht="15.75" thickBot="1">
      <c r="A9" s="57"/>
      <c r="B9" s="58"/>
      <c r="C9" s="59"/>
      <c r="E9" s="21" t="s">
        <v>4471</v>
      </c>
      <c r="K9" s="57"/>
      <c r="L9" s="58"/>
      <c r="M9" s="59"/>
      <c r="O9" s="57"/>
      <c r="P9" s="58"/>
      <c r="Q9" s="59"/>
      <c r="S9" s="57"/>
      <c r="T9" s="58"/>
      <c r="U9" s="59"/>
      <c r="W9" s="57"/>
      <c r="X9" s="58"/>
      <c r="Y9" s="59"/>
      <c r="AA9" s="57"/>
      <c r="AC9" s="59"/>
      <c r="AE9" s="57"/>
      <c r="AF9" s="58"/>
      <c r="AG9" s="59"/>
      <c r="AI9" s="57"/>
      <c r="AJ9" s="58"/>
      <c r="AK9" s="59"/>
      <c r="AM9" s="57"/>
      <c r="AN9" s="58"/>
      <c r="AO9" s="59"/>
      <c r="AQ9" s="57"/>
      <c r="AR9" s="58"/>
      <c r="AS9" s="59"/>
    </row>
    <row r="10" spans="1:45" ht="15.75" thickBot="1">
      <c r="A10" s="60" t="s">
        <v>3646</v>
      </c>
      <c r="B10" s="197"/>
      <c r="C10" s="61"/>
      <c r="E10" s="10" t="s">
        <v>4465</v>
      </c>
      <c r="K10" s="60" t="s">
        <v>3646</v>
      </c>
      <c r="L10" s="197"/>
      <c r="M10" s="61"/>
      <c r="O10" s="60" t="s">
        <v>3646</v>
      </c>
      <c r="P10" s="197"/>
      <c r="Q10" s="61"/>
      <c r="S10" s="60" t="s">
        <v>3646</v>
      </c>
      <c r="T10" s="197"/>
      <c r="U10" s="61"/>
      <c r="W10" s="60" t="s">
        <v>3646</v>
      </c>
      <c r="X10" s="197"/>
      <c r="Y10" s="61"/>
      <c r="AA10" s="60" t="s">
        <v>3646</v>
      </c>
      <c r="AB10" s="197"/>
      <c r="AC10" s="61"/>
      <c r="AE10" s="60" t="s">
        <v>3646</v>
      </c>
      <c r="AF10" s="197"/>
      <c r="AG10" s="61"/>
      <c r="AI10" s="60" t="s">
        <v>3646</v>
      </c>
      <c r="AJ10" s="197"/>
      <c r="AK10" s="61"/>
      <c r="AM10" s="60" t="s">
        <v>3646</v>
      </c>
      <c r="AN10" s="197"/>
      <c r="AO10" s="61"/>
      <c r="AQ10" s="60" t="s">
        <v>3646</v>
      </c>
      <c r="AR10" s="197"/>
      <c r="AS10" s="61"/>
    </row>
    <row r="11" spans="1:45" ht="15.75" thickBot="1">
      <c r="A11" s="60" t="s">
        <v>3745</v>
      </c>
      <c r="B11" s="67" t="str">
        <f>IF(B10="", "-", IFERROR(IF(INDEX('Fuel Conversion Parameters'!$B$2:$B$61, MATCH(B10, 'Fuel Conversion Parameters'!$A$2:$A$61, 0))="", "MISSING VALUE", INDEX('Fuel Conversion Parameters'!$B$2:$B$61, MATCH(B10, 'Fuel Conversion Parameters'!$A$2:$A$61, 0))), "MISSING VALUE"))</f>
        <v>-</v>
      </c>
      <c r="C11" s="61"/>
      <c r="E11" s="10" t="s">
        <v>4466</v>
      </c>
      <c r="K11" s="60" t="s">
        <v>3745</v>
      </c>
      <c r="L11" s="67" t="str">
        <f>IF(L10="", "-", IFERROR(IF(INDEX('Fuel Conversion Parameters'!$B$2:$B$61, MATCH(L10, 'Fuel Conversion Parameters'!$A$2:$A$61, 0))="", "MISSING VALUE", INDEX('Fuel Conversion Parameters'!$B$2:$B$61, MATCH(L10, 'Fuel Conversion Parameters'!$A$2:$A$61, 0))), "MISSING VALUE"))</f>
        <v>-</v>
      </c>
      <c r="M11" s="61"/>
      <c r="O11" s="60" t="s">
        <v>3745</v>
      </c>
      <c r="P11" s="67" t="str">
        <f>IF(P10="", "-", IFERROR(IF(INDEX('Fuel Conversion Parameters'!$B$2:$B$61, MATCH(P10, 'Fuel Conversion Parameters'!$A$2:$A$61, 0))="", "MISSING VALUE", INDEX('Fuel Conversion Parameters'!$B$2:$B$61, MATCH(P10, 'Fuel Conversion Parameters'!$A$2:$A$61, 0))), "MISSING VALUE"))</f>
        <v>-</v>
      </c>
      <c r="Q11" s="61"/>
      <c r="S11" s="60" t="s">
        <v>3745</v>
      </c>
      <c r="T11" s="67" t="str">
        <f>IF(T10="", "-", IFERROR(IF(INDEX('Fuel Conversion Parameters'!$B$2:$B$61, MATCH(T10, 'Fuel Conversion Parameters'!$A$2:$A$61, 0))="", "MISSING VALUE", INDEX('Fuel Conversion Parameters'!$B$2:$B$61, MATCH(T10, 'Fuel Conversion Parameters'!$A$2:$A$61, 0))), "MISSING VALUE"))</f>
        <v>-</v>
      </c>
      <c r="U11" s="61"/>
      <c r="W11" s="60" t="s">
        <v>3745</v>
      </c>
      <c r="X11" s="67" t="str">
        <f>IF(X10="", "-", IFERROR(IF(INDEX('Fuel Conversion Parameters'!$B$2:$B$61, MATCH(X10, 'Fuel Conversion Parameters'!$A$2:$A$61, 0))="", "MISSING VALUE", INDEX('Fuel Conversion Parameters'!$B$2:$B$61, MATCH(X10, 'Fuel Conversion Parameters'!$A$2:$A$61, 0))), "MISSING VALUE"))</f>
        <v>-</v>
      </c>
      <c r="Y11" s="61"/>
      <c r="AA11" s="60" t="s">
        <v>3745</v>
      </c>
      <c r="AB11" s="67" t="str">
        <f>IF(AB10="", "-", IFERROR(IF(INDEX('Fuel Conversion Parameters'!$B$2:$B$61, MATCH(AB10, 'Fuel Conversion Parameters'!$A$2:$A$61, 0))="", "MISSING VALUE", INDEX('Fuel Conversion Parameters'!$B$2:$B$61, MATCH(AB10, 'Fuel Conversion Parameters'!$A$2:$A$61, 0))), "MISSING VALUE"))</f>
        <v>-</v>
      </c>
      <c r="AC11" s="61"/>
      <c r="AE11" s="60" t="s">
        <v>3745</v>
      </c>
      <c r="AF11" s="67" t="str">
        <f>IF(AF10="", "-", IFERROR(IF(INDEX('Fuel Conversion Parameters'!$B$2:$B$61, MATCH(AF10, 'Fuel Conversion Parameters'!$A$2:$A$61, 0))="", "MISSING VALUE", INDEX('Fuel Conversion Parameters'!$B$2:$B$61, MATCH(AF10, 'Fuel Conversion Parameters'!$A$2:$A$61, 0))), "MISSING VALUE"))</f>
        <v>-</v>
      </c>
      <c r="AG11" s="61"/>
      <c r="AI11" s="60" t="s">
        <v>3745</v>
      </c>
      <c r="AJ11" s="67" t="str">
        <f>IF(AJ10="", "-", IFERROR(IF(INDEX('Fuel Conversion Parameters'!$B$2:$B$61, MATCH(AJ10, 'Fuel Conversion Parameters'!$A$2:$A$61, 0))="", "MISSING VALUE", INDEX('Fuel Conversion Parameters'!$B$2:$B$61, MATCH(AJ10, 'Fuel Conversion Parameters'!$A$2:$A$61, 0))), "MISSING VALUE"))</f>
        <v>-</v>
      </c>
      <c r="AK11" s="61"/>
      <c r="AM11" s="60" t="s">
        <v>3745</v>
      </c>
      <c r="AN11" s="67" t="str">
        <f>IF(AN10="", "-", IFERROR(IF(INDEX('Fuel Conversion Parameters'!$B$2:$B$61, MATCH(AN10, 'Fuel Conversion Parameters'!$A$2:$A$61, 0))="", "MISSING VALUE", INDEX('Fuel Conversion Parameters'!$B$2:$B$61, MATCH(AN10, 'Fuel Conversion Parameters'!$A$2:$A$61, 0))), "MISSING VALUE"))</f>
        <v>-</v>
      </c>
      <c r="AO11" s="61"/>
      <c r="AQ11" s="60" t="s">
        <v>3745</v>
      </c>
      <c r="AR11" s="67" t="str">
        <f>IF(AR10="", "-", IFERROR(IF(INDEX('Fuel Conversion Parameters'!$B$2:$B$61, MATCH(AR10, 'Fuel Conversion Parameters'!$A$2:$A$61, 0))="", "MISSING VALUE", INDEX('Fuel Conversion Parameters'!$B$2:$B$61, MATCH(AR10, 'Fuel Conversion Parameters'!$A$2:$A$61, 0))), "MISSING VALUE"))</f>
        <v>-</v>
      </c>
      <c r="AS11" s="61"/>
    </row>
    <row r="12" spans="1:45" ht="15.75" thickBot="1">
      <c r="A12" s="54" t="s">
        <v>4366</v>
      </c>
      <c r="B12" s="67" t="str">
        <f>IF(B10="", "-", IFERROR(IF(INDEX('Fuel Conversion Parameters'!$F$2:$F$61, MATCH(B10, 'Fuel Conversion Parameters'!$A$2:$A$61, 0))="", "MISSING VALUE", INDEX('Fuel Conversion Parameters'!$F$2:$F$61, MATCH(B10, 'Fuel Conversion Parameters'!$A$2:$A$61, 0))), "MISSING VALUE"))</f>
        <v>-</v>
      </c>
      <c r="C12" s="61"/>
      <c r="E12" s="10" t="s">
        <v>4467</v>
      </c>
      <c r="K12" s="60" t="s">
        <v>4366</v>
      </c>
      <c r="L12" s="67" t="str">
        <f>IF(L10="", "-", IFERROR(IF(INDEX('Fuel Conversion Parameters'!$F$2:$F$61, MATCH(L10, 'Fuel Conversion Parameters'!$A$2:$A$61, 0))="", "MISSING VALUE", INDEX('Fuel Conversion Parameters'!$F$2:$F$61, MATCH(L10, 'Fuel Conversion Parameters'!$A$2:$A$61, 0))), "MISSING VALUE"))</f>
        <v>-</v>
      </c>
      <c r="M12" s="61"/>
      <c r="O12" s="60" t="s">
        <v>4366</v>
      </c>
      <c r="P12" s="67" t="str">
        <f>IF(P10="", "-", IFERROR(IF(INDEX('Fuel Conversion Parameters'!$F$2:$F$61, MATCH(P10, 'Fuel Conversion Parameters'!$A$2:$A$61, 0))="", "MISSING VALUE", INDEX('Fuel Conversion Parameters'!$F$2:$F$61, MATCH(P10, 'Fuel Conversion Parameters'!$A$2:$A$61, 0))), "MISSING VALUE"))</f>
        <v>-</v>
      </c>
      <c r="Q12" s="61"/>
      <c r="S12" s="54" t="s">
        <v>4366</v>
      </c>
      <c r="T12" s="67" t="str">
        <f>IF(T10="", "-", IFERROR(IF(INDEX('Fuel Conversion Parameters'!$F$2:$F$61, MATCH(T10, 'Fuel Conversion Parameters'!$A$2:$A$61, 0))="", "MISSING VALUE", INDEX('Fuel Conversion Parameters'!$F$2:$F$61, MATCH(T10, 'Fuel Conversion Parameters'!$A$2:$A$61, 0))), "MISSING VALUE"))</f>
        <v>-</v>
      </c>
      <c r="U12" s="61"/>
      <c r="W12" s="54" t="s">
        <v>4366</v>
      </c>
      <c r="X12" s="67" t="str">
        <f>IF(X10="", "-", IFERROR(IF(INDEX('Fuel Conversion Parameters'!$F$2:$F$61, MATCH(X10, 'Fuel Conversion Parameters'!$A$2:$A$61, 0))="", "MISSING VALUE", INDEX('Fuel Conversion Parameters'!$F$2:$F$61, MATCH(X10, 'Fuel Conversion Parameters'!$A$2:$A$61, 0))), "MISSING VALUE"))</f>
        <v>-</v>
      </c>
      <c r="Y12" s="61"/>
      <c r="AA12" s="54" t="s">
        <v>4366</v>
      </c>
      <c r="AB12" s="67" t="str">
        <f>IF(AB10="", "-", IFERROR(IF(INDEX('Fuel Conversion Parameters'!$F$2:$F$61, MATCH(AB10, 'Fuel Conversion Parameters'!$A$2:$A$61, 0))="", "MISSING VALUE", INDEX('Fuel Conversion Parameters'!$F$2:$F$61, MATCH(AB10, 'Fuel Conversion Parameters'!$A$2:$A$61, 0))), "MISSING VALUE"))</f>
        <v>-</v>
      </c>
      <c r="AC12" s="61"/>
      <c r="AE12" s="54" t="s">
        <v>4366</v>
      </c>
      <c r="AF12" s="67" t="str">
        <f>IF(AF10="", "-", IFERROR(IF(INDEX('Fuel Conversion Parameters'!$F$2:$F$61, MATCH(AF10, 'Fuel Conversion Parameters'!$A$2:$A$61, 0))="", "MISSING VALUE", INDEX('Fuel Conversion Parameters'!$F$2:$F$61, MATCH(AF10, 'Fuel Conversion Parameters'!$A$2:$A$61, 0))), "MISSING VALUE"))</f>
        <v>-</v>
      </c>
      <c r="AG12" s="61"/>
      <c r="AI12" s="54" t="s">
        <v>4366</v>
      </c>
      <c r="AJ12" s="67" t="str">
        <f>IF(AJ10="", "-", IFERROR(IF(INDEX('Fuel Conversion Parameters'!$F$2:$F$61, MATCH(AJ10, 'Fuel Conversion Parameters'!$A$2:$A$61, 0))="", "MISSING VALUE", INDEX('Fuel Conversion Parameters'!$F$2:$F$61, MATCH(AJ10, 'Fuel Conversion Parameters'!$A$2:$A$61, 0))), "MISSING VALUE"))</f>
        <v>-</v>
      </c>
      <c r="AK12" s="61"/>
      <c r="AM12" s="54" t="s">
        <v>4366</v>
      </c>
      <c r="AN12" s="67" t="str">
        <f>IF(AN10="", "-", IFERROR(IF(INDEX('Fuel Conversion Parameters'!$F$2:$F$61, MATCH(AN10, 'Fuel Conversion Parameters'!$A$2:$A$61, 0))="", "MISSING VALUE", INDEX('Fuel Conversion Parameters'!$F$2:$F$61, MATCH(AN10, 'Fuel Conversion Parameters'!$A$2:$A$61, 0))), "MISSING VALUE"))</f>
        <v>-</v>
      </c>
      <c r="AO12" s="61"/>
      <c r="AQ12" s="54" t="s">
        <v>4366</v>
      </c>
      <c r="AR12" s="67" t="str">
        <f>IF(AR10="", "-", IFERROR(IF(INDEX('Fuel Conversion Parameters'!$F$2:$F$61, MATCH(AR10, 'Fuel Conversion Parameters'!$A$2:$A$61, 0))="", "MISSING VALUE", INDEX('Fuel Conversion Parameters'!$F$2:$F$61, MATCH(AR10, 'Fuel Conversion Parameters'!$A$2:$A$61, 0))), "MISSING VALUE"))</f>
        <v>-</v>
      </c>
      <c r="AS12" s="61"/>
    </row>
    <row r="13" spans="1:45" ht="15">
      <c r="A13" s="62"/>
      <c r="B13" s="19"/>
      <c r="C13" s="61"/>
      <c r="E13" s="10" t="s">
        <v>4644</v>
      </c>
      <c r="K13" s="62"/>
      <c r="L13" s="19"/>
      <c r="M13" s="61"/>
      <c r="O13" s="62"/>
      <c r="P13" s="19"/>
      <c r="Q13" s="61"/>
      <c r="S13" s="62"/>
      <c r="T13" s="19"/>
      <c r="U13" s="61"/>
      <c r="W13" s="62"/>
      <c r="X13" s="19"/>
      <c r="Y13" s="61"/>
      <c r="AA13" s="62"/>
      <c r="AB13" s="19"/>
      <c r="AC13" s="61"/>
      <c r="AE13" s="62"/>
      <c r="AF13" s="19"/>
      <c r="AG13" s="61"/>
      <c r="AI13" s="62"/>
      <c r="AJ13" s="19"/>
      <c r="AK13" s="61"/>
      <c r="AM13" s="62"/>
      <c r="AN13" s="19"/>
      <c r="AO13" s="61"/>
      <c r="AQ13" s="62"/>
      <c r="AR13" s="19"/>
      <c r="AS13" s="61"/>
    </row>
    <row r="14" spans="1:45">
      <c r="A14" s="63"/>
      <c r="B14" s="10"/>
      <c r="C14" s="61"/>
      <c r="E14" s="10" t="s">
        <v>4468</v>
      </c>
      <c r="K14" s="63"/>
      <c r="M14" s="61"/>
      <c r="O14" s="63"/>
      <c r="Q14" s="61"/>
      <c r="S14" s="63"/>
      <c r="U14" s="61"/>
      <c r="W14" s="63"/>
      <c r="Y14" s="61"/>
      <c r="AA14" s="63"/>
      <c r="AC14" s="61"/>
      <c r="AE14" s="63"/>
      <c r="AG14" s="61"/>
      <c r="AI14" s="63"/>
      <c r="AK14" s="61"/>
      <c r="AM14" s="63"/>
      <c r="AN14" s="10"/>
      <c r="AO14" s="61"/>
      <c r="AQ14" s="63"/>
      <c r="AS14" s="61"/>
    </row>
    <row r="15" spans="1:45" ht="15" thickBot="1">
      <c r="A15" s="64"/>
      <c r="B15" s="10"/>
      <c r="C15" s="61"/>
      <c r="E15" s="10" t="s">
        <v>4645</v>
      </c>
      <c r="K15" s="64"/>
      <c r="M15" s="61"/>
      <c r="O15" s="63"/>
      <c r="Q15" s="61"/>
      <c r="S15" s="63"/>
      <c r="U15" s="61"/>
      <c r="W15" s="63"/>
      <c r="Y15" s="61"/>
      <c r="AA15" s="63"/>
      <c r="AC15" s="61"/>
      <c r="AE15" s="63"/>
      <c r="AG15" s="61"/>
      <c r="AI15" s="63"/>
      <c r="AK15" s="61"/>
      <c r="AM15" s="63"/>
      <c r="AN15" s="10"/>
      <c r="AO15" s="61"/>
      <c r="AQ15" s="63"/>
      <c r="AS15" s="61"/>
    </row>
    <row r="16" spans="1:45" ht="15.75" thickBot="1">
      <c r="A16" s="65" t="s">
        <v>2777</v>
      </c>
      <c r="B16" s="198"/>
      <c r="C16" s="277" t="str">
        <f>IF(AND(B16="", B11="Liquid"),
   "Liquid fuel: please select one unit of measurement among m³ and L",
IF(AND(OR(B16="m³ - cubic meters", B16="L - Liter"), B11="Liquid"),
   "",
IF(AND(OR(B16="Gg - Gigagram", B16="t - tonne", B16="Kg - Kilogram", B16="g - gram"), B11="Liquid"),
   "Liquid fuel: please change unit of measurement, select one among m³ and L",
IF(AND(B16="", B11="Gaseous"),
   "Gaseous fuel: please select one unit of measurement among m³ and L",
IF(AND(OR(B16="m³ - cubic meters", B16="L - Liter"), B11="Gaseous"),
   "",
IF(AND(OR(B16="Gg - Gigagram", B16="t - tonne", B16="Kg - Kilogram", B16="g - gram"), B11="Gaseous"),
   "Gaseous fuel: please change unit of measurement, select one among m³ and L",
IF(AND(B16="", B11="Solid"),
   "Solid fuel: please select one unit of measurement among Gg, t, Kg and g",
IF(AND(OR(B16="Gg - Gigagram", B16="t - tonne", B16="Kg - Kilogram", B16="g - gram"), B11="Solid"),
   "",
IF(AND(OR(B16="m³ - cubic meters", B16="L - Liter"), B11="Solid"),
   "Solid fuel: please change unit of measurement, select one among Gg, t, Kg and g",
"")))))))))</f>
        <v/>
      </c>
      <c r="E16" s="276" t="s">
        <v>4476</v>
      </c>
      <c r="K16" s="65" t="s">
        <v>2777</v>
      </c>
      <c r="L16" s="198"/>
      <c r="M16" s="277" t="str">
        <f>IF(AND(L16="", L11="Liquid"),
   "Liquid fuel: please select one unit of measurement among m³ and L",
IF(AND(OR(L16="m³ - cubic meters", L16="L - Liter"), L11="Liquid"),
   "",
IF(AND(OR(L16="Gg - Gigagram", L16="t - tonne", L16="Kg - Kilogram", L16="g - gram"), L11="Liquid"),
   "Liquid fuel: please change unit of measurement, select one among m³ and L",
IF(AND(L16="", L11="Gaseous"),
   "Gaseous fuel: please select one unit of measurement among m³ and L",
IF(AND(OR(L16="m³ - cubic meters", L16="L - Liter"), L11="Gaseous"),
   "",
IF(AND(OR(L16="Gg - Gigagram", L16="t - tonne", L16="Kg - Kilogram", L16="g - gram"), L11="Gaseous"),
   "Gaseous fuel: please change unit of measurement, select one among m³ and L",
IF(AND(L16="", L11="Solid"),
   "Solid fuel: please select one unit of measurement among Gg, t, Kg and g",
IF(AND(OR(L16="Gg - Gigagram", L16="t - tonne", L16="Kg - Kilogram", L16="g - gram"), L11="Solid"),
   "",
IF(AND(OR(L16="m³ - cubic meters", L16="L - Liter"), L11="Solid"),
   "Solid fuel: please change unit of measurement, select one among Gg, t, Kg and g",
"")))))))))</f>
        <v/>
      </c>
      <c r="O16" s="65" t="s">
        <v>2777</v>
      </c>
      <c r="P16" s="198"/>
      <c r="Q16" s="61" t="str">
        <f>IF(AND(P16="", P11="Liquid"),
   "Liquid fuel: please select one unit of measurement among m³ and L",
IF(AND(OR(P16="m³ - cubic meters", P16="L - Liter"), P11="Liquid"),
   "",
IF(AND(OR(P16="Gg - Gigagram", P16="t - tonne", P16="Kg - Kilogram", P16="g - gram"), P11="Liquid"),
   "Liquid fuel: please change unit of measurement, select one among m³ and L",
IF(AND(P16="", P11="Gaseous"),
   "Gaseous fuel: please select one unit of measurement among m³ and L",
IF(AND(OR(P16="m³ - cubic meters", P16="L - Liter"), P11="Gaseous"),
   "",
IF(AND(OR(P16="Gg - Gigagram", P16="t - tonne", P16="Kg - Kilogram", P16="g - gram"), P11="Gaseous"),
   "Gaseous fuel: please change unit of measurement, select one among m³ and L",
IF(AND(P16="", P11="Solid"),
   "Solid fuel: please select one unit of measurement among Gg, t, Kg and g",
IF(AND(OR(P16="Gg - Gigagram", P16="t - tonne", P16="Kg - Kilogram", P16="g - gram"), P11="Solid"),
   "",
IF(AND(OR(P16="m³ - cubic meters", P16="L - Liter"), P11="Solid"),
   "Solid fuel: please change unit of measurement, select one among Gg, t, Kg and g",
"")))))))))</f>
        <v/>
      </c>
      <c r="S16" s="65" t="s">
        <v>2777</v>
      </c>
      <c r="T16" s="198"/>
      <c r="U16" s="277" t="str">
        <f>IF(AND(T16="", T11="Liquid"),
   "Liquid fuel: please select one unit of measurement among m³ and L",
IF(AND(OR(T16="m³ - cubic meters", T16="L - Liter"), T11="Liquid"),
   "",
IF(AND(OR(T16="Gg - Gigagram", T16="t - tonne", T16="Kg - Kilogram", T16="g - gram"), T11="Liquid"),
   "Liquid fuel: please change unit of measurement, select one among m³ and L",
IF(AND(T16="", T11="Gaseous"),
   "Gaseous fuel: please select one unit of measurement among m³ and L",
IF(AND(OR(T16="m³ - cubic meters", T16="L - Liter"), T11="Gaseous"),
   "",
IF(AND(OR(T16="Gg - Gigagram", T16="t - tonne", T16="Kg - Kilogram", T16="g - gram"), T11="Gaseous"),
   "Gaseous fuel: please change unit of measurement, select one among m³ and L",
IF(AND(T16="", T11="Solid"),
   "Solid fuel: please select one unit of measurement among Gg, t, Kg and g",
IF(AND(OR(T16="Gg - Gigagram", T16="t - tonne", T16="Kg - Kilogram", T16="g - gram"), T11="Solid"),
   "",
IF(AND(OR(T16="m³ - cubic meters", T16="L - Liter"), T11="Solid"),
   "Solid fuel: please change unit of measurement, select one among Gg, t, Kg and g",
"")))))))))</f>
        <v/>
      </c>
      <c r="W16" s="65" t="s">
        <v>2777</v>
      </c>
      <c r="X16" s="198"/>
      <c r="Y16" s="277" t="str">
        <f>IF(AND(X16="", X11="Liquid"),
   "Liquid fuel: please select one unit of measurement among m³ and L",
IF(AND(OR(X16="m³ - cubic meters", X16="L - Liter"), X11="Liquid"),
   "",
IF(AND(OR(X16="Gg - Gigagram", X16="t - tonne", X16="Kg - Kilogram", X16="g - gram"), X11="Liquid"),
   "Liquid fuel: please change unit of measurement, select one among m³ and L",
IF(AND(X16="", X11="Gaseous"),
   "Gaseous fuel: please select one unit of measurement among m³ and L",
IF(AND(OR(X16="m³ - cubic meters", X16="L - Liter"), X11="Gaseous"),
   "",
IF(AND(OR(X16="Gg - Gigagram", X16="t - tonne", X16="Kg - Kilogram", X16="g - gram"), X11="Gaseous"),
   "Gaseous fuel: please change unit of measurement, select one among m³ and L",
IF(AND(X16="", X11="Solid"),
   "Solid fuel: please select one unit of measurement among Gg, t, Kg and g",
IF(AND(OR(X16="Gg - Gigagram", X16="t - tonne", X16="Kg - Kilogram", X16="g - gram"), X11="Solid"),
   "",
IF(AND(OR(X16="m³ - cubic meters", X16="L - Liter"), X11="Solid"),
   "Solid fuel: please change unit of measurement, select one among Gg, t, Kg and g",
"")))))))))</f>
        <v/>
      </c>
      <c r="AA16" s="65" t="s">
        <v>2777</v>
      </c>
      <c r="AB16" s="198"/>
      <c r="AC16" s="277" t="str">
        <f>IF(AND(AB16="", AB11="Liquid"),
   "Liquid fuel: please select one unit of measurement among m³ and L",
IF(AND(OR(AB16="m³ - cubic meters", AB16="L - Liter"), AB11="Liquid"),
   "",
IF(AND(OR(AB16="Gg - Gigagram", AB16="t - tonne", AB16="Kg - Kilogram", AB16="g - gram"), AB11="Liquid"),
   "Liquid fuel: please change unit of measurement, select one among m³ and L",
IF(AND(AB16="", AB11="Gaseous"),
   "Gaseous fuel: please select one unit of measurement among m³ and L",
IF(AND(OR(AB16="m³ - cubic meters", AB16="L - Liter"), AB11="Gaseous"),
   "",
IF(AND(OR(AB16="Gg - Gigagram", AB16="t - tonne", AB16="Kg - Kilogram", AB16="g - gram"), AB11="Gaseous"),
   "Gaseous fuel: please change unit of measurement, select one among m³ and L",
IF(AND(AB16="", AB11="Solid"),
   "Solid fuel: please select one unit of measurement among Gg, t, Kg and g",
IF(AND(OR(AB16="Gg - Gigagram", AB16="t - tonne", AB16="Kg - Kilogram", AB16="g - gram"), AB11="Solid"),
   "",
IF(AND(OR(AB16="m³ - cubic meters", AB16="L - Liter"), AB11="Solid"),
   "Solid fuel: please change unit of measurement, select one among Gg, t, Kg and g",
"")))))))))</f>
        <v/>
      </c>
      <c r="AE16" s="65" t="s">
        <v>2777</v>
      </c>
      <c r="AF16" s="198"/>
      <c r="AG16" s="277" t="str">
        <f>IF(AND(AF16="", AF11="Liquid"),
   "Liquid fuel: please select one unit of measurement among m³ and L",
IF(AND(OR(AF16="m³ - cubic meters", AF16="L - Liter"), AF11="Liquid"),
   "",
IF(AND(OR(AF16="Gg - Gigagram", AF16="t - tonne", AF16="Kg - Kilogram", AF16="g - gram"), AF11="Liquid"),
   "Liquid fuel: please change unit of measurement, select one among m³ and L",
IF(AND(AF16="", AF11="Gaseous"),
   "Gaseous fuel: please select one unit of measurement among m³ and L",
IF(AND(OR(AF16="m³ - cubic meters", AF16="L - Liter"), AF11="Gaseous"),
   "",
IF(AND(OR(AF16="Gg - Gigagram", AF16="t - tonne", AF16="Kg - Kilogram", AF16="g - gram"), AF11="Gaseous"),
   "Gaseous fuel: please change unit of measurement, select one among m³ and L",
IF(AND(AF16="", AF11="Solid"),
   "Solid fuel: please select one unit of measurement among Gg, t, Kg and g",
IF(AND(OR(AF16="Gg - Gigagram", AF16="t - tonne", AF16="Kg - Kilogram", AF16="g - gram"), AF11="Solid"),
   "",
IF(AND(OR(AF16="m³ - cubic meters", AF16="L - Liter"), AF11="Solid"),
   "Solid fuel: please change unit of measurement, select one among Gg, t, Kg and g",
"")))))))))</f>
        <v/>
      </c>
      <c r="AI16" s="65" t="s">
        <v>2777</v>
      </c>
      <c r="AJ16" s="198"/>
      <c r="AK16" s="277" t="str">
        <f>IF(AND(AJ16="", AJ11="Liquid"),
   "Liquid fuel: please select one unit of measurement among m³ and L",
IF(AND(OR(AJ16="m³ - cubic meters", AJ16="L - Liter"), AJ11="Liquid"),
   "",
IF(AND(OR(AJ16="Gg - Gigagram", AJ16="t - tonne", AJ16="Kg - Kilogram", AJ16="g - gram"), AJ11="Liquid"),
   "Liquid fuel: please change unit of measurement, select one among m³ and L",
IF(AND(AJ16="", AJ11="Gaseous"),
   "Gaseous fuel: please select one unit of measurement among m³ and L",
IF(AND(OR(AJ16="m³ - cubic meters", AJ16="L - Liter"), AJ11="Gaseous"),
   "",
IF(AND(OR(AJ16="Gg - Gigagram", AJ16="t - tonne", AJ16="Kg - Kilogram", AJ16="g - gram"), AJ11="Gaseous"),
   "Gaseous fuel: please change unit of measurement, select one among m³ and L",
IF(AND(AJ16="", AJ11="Solid"),
   "Solid fuel: please select one unit of measurement among Gg, t, Kg and g",
IF(AND(OR(AJ16="Gg - Gigagram", AJ16="t - tonne", AJ16="Kg - Kilogram", AJ16="g - gram"), AJ11="Solid"),
   "",
IF(AND(OR(AJ16="m³ - cubic meters", AJ16="L - Liter"), AJ11="Solid"),
   "Solid fuel: please change unit of measurement, select one among Gg, t, Kg and g",
"")))))))))</f>
        <v/>
      </c>
      <c r="AM16" s="65" t="s">
        <v>2777</v>
      </c>
      <c r="AN16" s="198"/>
      <c r="AO16" s="277" t="str">
        <f>IF(AND(AN16="", AN11="Liquid"),
   "Liquid fuel: please select one unit of measurement among m³ and L",
IF(AND(OR(AN16="m³ - cubic meters", AN16="L - Liter"), AN11="Liquid"),
   "",
IF(AND(OR(AN16="Gg - Gigagram", AN16="t - tonne", AN16="Kg - Kilogram", AN16="g - gram"), AN11="Liquid"),
   "Liquid fuel: please change unit of measurement, select one among m³ and L",
IF(AND(AN16="", AN11="Gaseous"),
   "Gaseous fuel: please select one unit of measurement among m³ and L",
IF(AND(OR(AN16="m³ - cubic meters", AN16="L - Liter"), AN11="Gaseous"),
   "",
IF(AND(OR(AN16="Gg - Gigagram", AN16="t - tonne", AN16="Kg - Kilogram", AN16="g - gram"), AN11="Gaseous"),
   "Gaseous fuel: please change unit of measurement, select one among m³ and L",
IF(AND(AN16="", AN11="Solid"),
   "Solid fuel: please select one unit of measurement among Gg, t, Kg and g",
IF(AND(OR(AN16="Gg - Gigagram", AN16="t - tonne", AN16="Kg - Kilogram", AN16="g - gram"), AN11="Solid"),
   "",
IF(AND(OR(AN16="m³ - cubic meters", AN16="L - Liter"), AN11="Solid"),
   "Solid fuel: please change unit of measurement, select one among Gg, t, Kg and g",
"")))))))))</f>
        <v/>
      </c>
      <c r="AQ16" s="65" t="s">
        <v>2777</v>
      </c>
      <c r="AR16" s="198"/>
      <c r="AS16" s="277" t="str">
        <f>IF(AND(AR16="", AR11="Liquid"),
   "Liquid fuel: please select one unit of measurement among m³ and L",
IF(AND(OR(AR16="m³ - cubic meters", AR16="L - Liter"), AR11="Liquid"),
   "",
IF(AND(OR(AR16="Gg - Gigagram", AR16="t - tonne", AR16="Kg - Kilogram", AR16="g - gram"), AR11="Liquid"),
   "Liquid fuel: please change unit of measurement, select one among m³ and L",
IF(AND(AR16="", AR11="Gaseous"),
   "Gaseous fuel: please select one unit of measurement among m³ and L",
IF(AND(OR(AR16="m³ - cubic meters", AR16="L - Liter"), AR11="Gaseous"),
   "",
IF(AND(OR(AR16="Gg - Gigagram", AR16="t - tonne", AR16="Kg - Kilogram", AR16="g - gram"), AR11="Gaseous"),
   "Gaseous fuel: please change unit of measurement, select one among m³ and L",
IF(AND(AR16="", AR11="Solid"),
   "Solid fuel: please select one unit of measurement among Gg, t, Kg and g",
IF(AND(OR(AR16="Gg - Gigagram", AR16="t - tonne", AR16="Kg - Kilogram", AR16="g - gram"), AR11="Solid"),
   "",
IF(AND(OR(AR16="m³ - cubic meters", AR16="L - Liter"), AR11="Solid"),
   "Solid fuel: please change unit of measurement, select one among Gg, t, Kg and g",
"")))))))))</f>
        <v/>
      </c>
    </row>
    <row r="17" spans="1:45" ht="15.75" thickBot="1">
      <c r="A17" s="60" t="s">
        <v>3750</v>
      </c>
      <c r="B17" s="199"/>
      <c r="C17" s="61"/>
      <c r="K17" s="60" t="s">
        <v>3750</v>
      </c>
      <c r="L17" s="199"/>
      <c r="M17" s="61"/>
      <c r="O17" s="60" t="s">
        <v>3750</v>
      </c>
      <c r="P17" s="199"/>
      <c r="Q17" s="61"/>
      <c r="S17" s="60" t="s">
        <v>3750</v>
      </c>
      <c r="T17" s="199"/>
      <c r="U17" s="61"/>
      <c r="W17" s="60" t="s">
        <v>3750</v>
      </c>
      <c r="X17" s="199"/>
      <c r="Y17" s="61"/>
      <c r="AA17" s="60" t="s">
        <v>3750</v>
      </c>
      <c r="AB17" s="199"/>
      <c r="AC17" s="61"/>
      <c r="AE17" s="60" t="s">
        <v>3750</v>
      </c>
      <c r="AF17" s="199"/>
      <c r="AG17" s="61"/>
      <c r="AI17" s="60" t="s">
        <v>3750</v>
      </c>
      <c r="AJ17" s="199"/>
      <c r="AK17" s="61"/>
      <c r="AM17" s="60" t="s">
        <v>3750</v>
      </c>
      <c r="AN17" s="199"/>
      <c r="AO17" s="61"/>
      <c r="AQ17" s="60" t="s">
        <v>3750</v>
      </c>
      <c r="AR17" s="199"/>
      <c r="AS17" s="61"/>
    </row>
    <row r="18" spans="1:45" ht="18" customHeight="1">
      <c r="A18" s="63"/>
      <c r="B18" s="201" t="str">
        <f>IF(B16="g - gram",B17*0.000000001,
IF(B16="Kg - Kilogram",B17*0.000001,
IF(B16="t - tonne",B17*0.001,
IF(B16="Gg - Gigagram",B17*1,
IF(B16="m³ - cubic meters",B17*1000,
IF(B16="L - Liter",B17*1,
""))))))</f>
        <v/>
      </c>
      <c r="C18" s="61"/>
      <c r="E18" s="265"/>
      <c r="F18" s="265"/>
      <c r="G18" s="265"/>
      <c r="H18" s="265"/>
      <c r="I18" s="265"/>
      <c r="K18" s="63"/>
      <c r="L18" s="201" t="str">
        <f>IF(L16="g - gram",L17*0.000000001,
IF(L16="Kg - Kilogram",L17*0.000001,
IF(L16="t - tonne",L17*0.001,
IF(L16="Gg - Gigagram",L17*1,
IF(L16="m³ - cubic meters",L17*1000,
IF(L16="L - Liter",L17*1,
""))))))</f>
        <v/>
      </c>
      <c r="M18" s="61"/>
      <c r="O18" s="63"/>
      <c r="P18" s="201" t="str">
        <f>IF(P16="g - gram",P17*0.000000001,
IF(P16="Kg - Kilogram",P17*0.000001,
IF(P16="t - tonne",P17*0.001,
IF(P16="Gg - Gigagram",P17*1,
IF(P16="m³ - cubic meters",P17*1000,
IF(P16="L - Liter",P17*1,
""))))))</f>
        <v/>
      </c>
      <c r="Q18" s="61"/>
      <c r="S18" s="63"/>
      <c r="T18" s="201" t="str">
        <f>IF(T16="g - gram",T17*0.000000001,
IF(T16="Kg - Kilogram",T17*0.000001,
IF(T16="t - tonne",T17*0.001,
IF(T16="Gg - Gigagram",T17*1,
IF(T16="m³ - cubic meters",T17*1000,
IF(T16="L - Liter",T17*1,
""))))))</f>
        <v/>
      </c>
      <c r="U18" s="61"/>
      <c r="W18" s="63"/>
      <c r="X18" s="201" t="str">
        <f>IF(X16="g - gram",X17*0.000000001,
IF(X16="Kg - Kilogram",X17*0.000001,
IF(X16="t - tonne",X17*0.001,
IF(X16="Gg - Gigagram",X17*1,
IF(X16="m³ - cubic meters",X17*1000,
IF(X16="L - Liter",X17*1,
""))))))</f>
        <v/>
      </c>
      <c r="Y18" s="61"/>
      <c r="AA18" s="63"/>
      <c r="AB18" s="201" t="str">
        <f>IF(AB16="g - gram",AB17*0.000000001,
IF(AB16="Kg - Kilogram",AB17*0.000001,
IF(AB16="t - tonne",AB17*0.001,
IF(AB16="Gg - Gigagram",AB17*1,
IF(AB16="m³ - cubic meters",AB17*1000,
IF(AB16="L - Liter",AB17*1,
""))))))</f>
        <v/>
      </c>
      <c r="AC18" s="61"/>
      <c r="AE18" s="63"/>
      <c r="AF18" s="201" t="str">
        <f>IF(AF16="g - gram",AF17*0.000000001,
IF(AF16="Kg - Kilogram",AF17*0.000001,
IF(AF16="t - tonne",AF17*0.001,
IF(AF16="Gg - Gigagram",AF17*1,
IF(AF16="m³ - cubic meters",AF17*1000,
IF(AF16="L - Liter",AF17*1,
""))))))</f>
        <v/>
      </c>
      <c r="AG18" s="61"/>
      <c r="AI18" s="63"/>
      <c r="AJ18" s="201" t="str">
        <f>IF(AJ16="g - gram",AJ17*0.000000001,
IF(AJ16="Kg - Kilogram",AJ17*0.000001,
IF(AJ16="t - tonne",AJ17*0.001,
IF(AJ16="Gg - Gigagram",AJ17*1,
IF(AJ16="m³ - cubic meters",AJ17*1000,
IF(AJ16="L - Liter",AJ17*1,
""))))))</f>
        <v/>
      </c>
      <c r="AK18" s="61"/>
      <c r="AM18" s="63"/>
      <c r="AN18" s="201" t="str">
        <f>IF(AN16="g - gram",AN17*0.000000001,
IF(AN16="Kg - Kilogram",AN17*0.000001,
IF(AN16="t - tonne",AN17*0.001,
IF(AN16="Gg - Gigagram",AN17*1,
IF(AN16="m³ - cubic meters",AN17*1000,
IF(AN16="L - Liter",AN17*1,
""))))))</f>
        <v/>
      </c>
      <c r="AO18" s="61"/>
      <c r="AQ18" s="63"/>
      <c r="AR18" s="201" t="str">
        <f>IF(AR16="g - gram",AR17*0.000000001,
IF(AR16="Kg - Kilogram",AR17*0.000001,
IF(AR16="t - tonne",AR17*0.001,
IF(AR16="Gg - Gigagram",AR17*1,
IF(AR16="m³ - cubic meters",AR17*1000,
IF(AR16="L - Liter",AR17*1,
""))))))</f>
        <v/>
      </c>
      <c r="AS18" s="61"/>
    </row>
    <row r="19" spans="1:45" ht="15">
      <c r="A19" s="63"/>
      <c r="B19" s="17"/>
      <c r="C19" s="61"/>
      <c r="K19" s="63"/>
      <c r="L19" s="17"/>
      <c r="M19" s="61"/>
      <c r="O19" s="63"/>
      <c r="P19" s="17"/>
      <c r="Q19" s="61"/>
      <c r="S19" s="63"/>
      <c r="T19" s="17"/>
      <c r="U19" s="61"/>
      <c r="W19" s="63"/>
      <c r="X19" s="17"/>
      <c r="Y19" s="61"/>
      <c r="AA19" s="63"/>
      <c r="AB19" s="17"/>
      <c r="AC19" s="61"/>
      <c r="AE19" s="63"/>
      <c r="AF19" s="17"/>
      <c r="AG19" s="61"/>
      <c r="AI19" s="63"/>
      <c r="AJ19" s="17"/>
      <c r="AK19" s="61"/>
      <c r="AM19" s="63"/>
      <c r="AN19" s="17"/>
      <c r="AO19" s="61"/>
      <c r="AQ19" s="63"/>
      <c r="AR19" s="17"/>
      <c r="AS19" s="61"/>
    </row>
    <row r="20" spans="1:45" ht="15" thickBot="1">
      <c r="A20" s="10"/>
      <c r="B20" s="10"/>
      <c r="C20" s="61"/>
      <c r="K20" s="63"/>
      <c r="M20" s="61"/>
      <c r="O20" s="63"/>
      <c r="Q20" s="61"/>
      <c r="S20" s="63"/>
      <c r="U20" s="61"/>
      <c r="W20" s="63"/>
      <c r="Y20" s="61"/>
      <c r="AA20" s="63"/>
      <c r="AC20" s="61"/>
      <c r="AE20" s="63"/>
      <c r="AG20" s="61"/>
      <c r="AI20" s="63"/>
      <c r="AK20" s="61"/>
      <c r="AM20" s="63"/>
      <c r="AN20" s="10"/>
      <c r="AO20" s="61"/>
      <c r="AQ20" s="63"/>
      <c r="AS20" s="61"/>
    </row>
    <row r="21" spans="1:45" ht="15.75" thickBot="1">
      <c r="A21" s="60" t="s">
        <v>3647</v>
      </c>
      <c r="B21" s="10"/>
      <c r="C21" s="61"/>
      <c r="E21" s="265"/>
      <c r="F21" s="265"/>
      <c r="G21" s="265"/>
      <c r="H21" s="265"/>
      <c r="I21" s="265"/>
      <c r="K21" s="60" t="s">
        <v>3647</v>
      </c>
      <c r="M21" s="61"/>
      <c r="O21" s="60" t="s">
        <v>3647</v>
      </c>
      <c r="Q21" s="61"/>
      <c r="S21" s="60" t="s">
        <v>3647</v>
      </c>
      <c r="U21" s="61"/>
      <c r="W21" s="60" t="s">
        <v>3647</v>
      </c>
      <c r="Y21" s="61"/>
      <c r="AA21" s="60" t="s">
        <v>3647</v>
      </c>
      <c r="AC21" s="61"/>
      <c r="AE21" s="60" t="s">
        <v>3647</v>
      </c>
      <c r="AG21" s="61"/>
      <c r="AI21" s="60" t="s">
        <v>3647</v>
      </c>
      <c r="AK21" s="61"/>
      <c r="AM21" s="60" t="s">
        <v>3647</v>
      </c>
      <c r="AN21" s="10"/>
      <c r="AO21" s="61"/>
      <c r="AQ21" s="60" t="s">
        <v>3647</v>
      </c>
      <c r="AS21" s="61"/>
    </row>
    <row r="22" spans="1:45" ht="15.75" thickBot="1">
      <c r="A22" s="66" t="str">
        <f>IF(OR(
   A23="",
   B17="",
   C16="Liquid fuel: please change unit of measurement, select one among m³ and L",
   C16="Gaseous fuel: please change unit of measurement, select one among m³ and L",
   C16="Solid fuel: please change unit of measurement, select one among Gg, t, Kg and g"
),
"-",
IFERROR(A23*277.778, "")
)</f>
        <v>-</v>
      </c>
      <c r="B22" s="10" t="str">
        <f>IFERROR(IF(AND(B17&lt;&gt;0,A22=0),"ERROR",""),"")</f>
        <v/>
      </c>
      <c r="C22" s="61"/>
      <c r="K22" s="66" t="str">
        <f>IF(OR(
   K23="",
   L17="",
   M16="Liquid fuel: please change unit of measurement, select one among m³ and L",
   M16="Gaseous fuel: please change unit of measurement, select one among m³ and L",
   M16="Solid fuel: please change unit of measurement, select one among Gg, t, Kg and g"
),
"-",
IFERROR(K23*277.778, "")
)</f>
        <v>-</v>
      </c>
      <c r="L22" s="10" t="str">
        <f>IFERROR(IF(AND(L17&lt;&gt;0,K22=0),"ERROR",""),"")</f>
        <v/>
      </c>
      <c r="M22" s="61"/>
      <c r="O22" s="66" t="str">
        <f>IF(OR(
   O23="",
   P17="",
   Q16="Liquid fuel: please change unit of measurement, select one among m³ and L",
   Q16="Gaseous fuel: please change unit of measurement, select one among m³ and L",
   Q16="Solid fuel: please change unit of measurement, select one among Gg, t, Kg and g"
),
"-",
IFERROR(O23*277.778, "")
)</f>
        <v>-</v>
      </c>
      <c r="P22" s="10" t="str">
        <f>IFERROR(IF(AND(P17&lt;&gt;0,O22=0),"ERROR",""),"")</f>
        <v/>
      </c>
      <c r="Q22" s="61"/>
      <c r="S22" s="66" t="str">
        <f>IF(OR(
   S23="",
   T17="",
   U16="Liquid fuel: please change unit of measurement, select one among m³ and L",
   U16="Gaseous fuel: please change unit of measurement, select one among m³ and L",
   U16="Solid fuel: please change unit of measurement, select one among Gg, t, Kg and g"
),
"-",
IFERROR(S23*277.778, "")
)</f>
        <v>-</v>
      </c>
      <c r="T22" s="10" t="str">
        <f>IFERROR(IF(AND(T17&lt;&gt;0,S22=0),"ERROR",""),"")</f>
        <v/>
      </c>
      <c r="U22" s="61"/>
      <c r="W22" s="66" t="str">
        <f>IF(OR(
   W23="",
   X17="",
   Y16="Liquid fuel: please change unit of measurement, select one among m³ and L",
   Y16="Gaseous fuel: please change unit of measurement, select one among m³ and L",
   Y16="Solid fuel: please change unit of measurement, select one among Gg, t, Kg and g"
),
"-",
IFERROR(W23*277.778, "")
)</f>
        <v>-</v>
      </c>
      <c r="X22" s="10" t="str">
        <f>IFERROR(IF(AND(X17&lt;&gt;0,W22=0),"ERROR",""),"")</f>
        <v/>
      </c>
      <c r="Y22" s="61"/>
      <c r="AA22" s="66" t="str">
        <f>IF(OR(
   AA23="",
   AB17="",
   AC16="Liquid fuel: please change unit of measurement, select one among m³ and L",
   AC16="Gaseous fuel: please change unit of measurement, select one among m³ and L",
   AC16="Solid fuel: please change unit of measurement, select one among Gg, t, Kg and g"
),
"-",
IFERROR(AA23*277.778, "")
)</f>
        <v>-</v>
      </c>
      <c r="AB22" s="10" t="str">
        <f>IFERROR(IF(AND(AB17&lt;&gt;0,AA22=0),"ERROR",""),"")</f>
        <v/>
      </c>
      <c r="AC22" s="61"/>
      <c r="AE22" s="66" t="str">
        <f>IF(OR(
   AE23="",
   AF17="",
   AG16="Liquid fuel: please change unit of measurement, select one among m³ and L",
   AG16="Gaseous fuel: please change unit of measurement, select one among m³ and L",
   AG16="Solid fuel: please change unit of measurement, select one among Gg, t, Kg and g"
),
"-",
IFERROR(AE23*277.778, "")
)</f>
        <v>-</v>
      </c>
      <c r="AF22" s="10" t="str">
        <f>IFERROR(IF(AND(AF17&lt;&gt;0,AE22=0),"ERROR",""),"")</f>
        <v/>
      </c>
      <c r="AG22" s="61"/>
      <c r="AI22" s="66" t="str">
        <f>IF(OR(
   AI23="",
   AJ17="",
   AK16="Liquid fuel: please change unit of measurement, select one among m³ and L",
   AK16="Gaseous fuel: please change unit of measurement, select one among m³ and L",
   AK16="Solid fuel: please change unit of measurement, select one among Gg, t, Kg and g"
),
"-",
IFERROR(AI23*277.778, "")
)</f>
        <v>-</v>
      </c>
      <c r="AJ22" s="10" t="str">
        <f>IFERROR(IF(AND(AJ17&lt;&gt;0,AI22=0),"ERROR",""),"")</f>
        <v/>
      </c>
      <c r="AK22" s="61"/>
      <c r="AM22" s="66" t="str">
        <f>IF(OR(
   AM23="",
   AN17="",
   AO16="Liquid fuel: please change unit of measurement, select one among m³ and L",
   AO16="Gaseous fuel: please change unit of measurement, select one among m³ and L",
   AO16="Solid fuel: please change unit of measurement, select one among Gg, t, Kg and g"
),
"-",
IFERROR(AM23*277.778, "")
)</f>
        <v>-</v>
      </c>
      <c r="AN22" s="10" t="str">
        <f>IFERROR(IF(AND(AN17&lt;&gt;0,AM22=0),"ERROR",""),"")</f>
        <v/>
      </c>
      <c r="AO22" s="61"/>
      <c r="AQ22" s="66" t="str">
        <f>IF(OR(
   AQ23="",
   AR17="",
   AS16="Liquid fuel: please change unit of measurement, select one among m³ and L",
   AS16="Gaseous fuel: please change unit of measurement, select one among m³ and L",
   AS16="Solid fuel: please change unit of measurement, select one among Gg, t, Kg and g"
),
"-",
IFERROR(AQ23*277.778, "")
)</f>
        <v>-</v>
      </c>
      <c r="AR22" s="10" t="str">
        <f>IFERROR(IF(AND(AR17&lt;&gt;0,AQ22=0),"ERROR",""),"")</f>
        <v/>
      </c>
      <c r="AS22" s="61"/>
    </row>
    <row r="23" spans="1:45">
      <c r="A23" s="262" t="str">
        <f>IFERROR(A26, "")</f>
        <v/>
      </c>
      <c r="B23" s="101"/>
      <c r="C23" s="263"/>
      <c r="K23" s="264" t="str">
        <f>IFERROR(K26, "")</f>
        <v/>
      </c>
      <c r="L23" s="101"/>
      <c r="M23" s="263"/>
      <c r="O23" s="264" t="str">
        <f>IFERROR(O26, "")</f>
        <v/>
      </c>
      <c r="P23" s="101"/>
      <c r="Q23" s="263"/>
      <c r="S23" s="264" t="str">
        <f>IFERROR(S26, "")</f>
        <v/>
      </c>
      <c r="T23" s="101"/>
      <c r="U23" s="263"/>
      <c r="W23" s="264" t="str">
        <f>IFERROR(W26, "")</f>
        <v/>
      </c>
      <c r="X23" s="101"/>
      <c r="Y23" s="263"/>
      <c r="AA23" s="264" t="str">
        <f>IFERROR(AA26, "")</f>
        <v/>
      </c>
      <c r="AB23" s="101"/>
      <c r="AC23" s="263"/>
      <c r="AE23" s="264" t="str">
        <f>IFERROR(AE26, "")</f>
        <v/>
      </c>
      <c r="AF23" s="101"/>
      <c r="AG23" s="263"/>
      <c r="AI23" s="264" t="str">
        <f>IFERROR(AI26, "")</f>
        <v/>
      </c>
      <c r="AJ23" s="101"/>
      <c r="AK23" s="263"/>
      <c r="AM23" s="264" t="str">
        <f>IFERROR(AM26, "")</f>
        <v/>
      </c>
      <c r="AN23" s="101"/>
      <c r="AO23" s="263"/>
      <c r="AQ23" s="264" t="str">
        <f>IFERROR(AQ26, "")</f>
        <v/>
      </c>
      <c r="AR23" s="101"/>
      <c r="AS23" s="263"/>
    </row>
    <row r="24" spans="1:45">
      <c r="A24" s="69" t="str">
        <f>IFERROR(
    IF(AND(B11="Solid"),B18,
        IF(AND(B11="Liquid"),B18*_xlfn.XLOOKUP(B10,'Fuel Conversion Parameters'!$A$2:$A$51,'Fuel Conversion Parameters'!$D$2:$D$51)*10^(-6),
            IF(AND(B11="Gaseous"),B18*_xlfn.XLOOKUP(B10,'Fuel Conversion Parameters'!$A$2:$A$51,'Fuel Conversion Parameters'!$E$2:$E$51)*10^(-3)*10^(-6),"")
        )
    ),
    ""
)</f>
        <v/>
      </c>
      <c r="B24" s="10"/>
      <c r="K24" s="69" t="str">
        <f>IFERROR(
    IF(AND(L11="Solid"),L18,
        IF(AND(L11="Liquid"),L18*_xlfn.XLOOKUP(L10,'Fuel Conversion Parameters'!$A$2:$A$51,'Fuel Conversion Parameters'!$D$2:$D$51)*10^(-6),
            IF(AND(L11="Gaseous"),L18*_xlfn.XLOOKUP(L10,'Fuel Conversion Parameters'!$A$2:$A$51,'Fuel Conversion Parameters'!$E$2:$E$51)*10^(-3)*10^(-6),"")
        )
    ),
    ""
)</f>
        <v/>
      </c>
      <c r="O24" s="69" t="str">
        <f>IFERROR(
    IF(AND(P11="Solid"),P18,
        IF(AND(P11="Liquid"),P18*_xlfn.XLOOKUP(P10,'Fuel Conversion Parameters'!$A$2:$A$51,'Fuel Conversion Parameters'!$D$2:$D$51)*10^(-6),
            IF(AND(P11="Gaseous"),P18*_xlfn.XLOOKUP(P10,'Fuel Conversion Parameters'!$A$2:$A$51,'Fuel Conversion Parameters'!$E$2:$E$51)*10^(-3)*10^(-6),"")
        )
    ),
    ""
)</f>
        <v/>
      </c>
      <c r="S24" s="69" t="str">
        <f>IFERROR(
    IF(AND(T11="Solid"),T18,
        IF(AND(T11="Liquid"),T18*_xlfn.XLOOKUP(T10,'Fuel Conversion Parameters'!$A$2:$A$51,'Fuel Conversion Parameters'!$D$2:$D$51)*10^(-6),
            IF(AND(T11="Gaseous"),T18*_xlfn.XLOOKUP(T10,'Fuel Conversion Parameters'!$A$2:$A$51,'Fuel Conversion Parameters'!$E$2:$E$51)*10^(-3)*10^(-6),"")
        )
    ),
    ""
)</f>
        <v/>
      </c>
      <c r="W24" s="69" t="str">
        <f>IFERROR(
    IF(AND(X11="Solid"),X18,
        IF(AND(X11="Liquid"),X18*_xlfn.XLOOKUP(X10,'Fuel Conversion Parameters'!$A$2:$A$51,'Fuel Conversion Parameters'!$D$2:$D$51)*10^(-6),
            IF(AND(X11="Gaseous"),X18*_xlfn.XLOOKUP(X10,'Fuel Conversion Parameters'!$A$2:$A$51,'Fuel Conversion Parameters'!$E$2:$E$51)*10^(-3)*10^(-6),"")
        )
    ),
    ""
)</f>
        <v/>
      </c>
      <c r="AA24" s="69" t="str">
        <f>IFERROR(
    IF(AND(AB11="Solid"),AB18,
        IF(AND(AB11="Liquid"),AB18*_xlfn.XLOOKUP(AB10,'Fuel Conversion Parameters'!$A$2:$A$51,'Fuel Conversion Parameters'!$D$2:$D$51)*10^(-6),
            IF(AND(AB11="Gaseous"),AB18*_xlfn.XLOOKUP(AB10,'Fuel Conversion Parameters'!$A$2:$A$51,'Fuel Conversion Parameters'!$E$2:$E$51)*10^(-3)*10^(-6),"")
        )
    ),
    ""
)</f>
        <v/>
      </c>
      <c r="AE24" s="69" t="str">
        <f>IFERROR(
    IF(AND(AF11="Solid"),AF18,
        IF(AND(AF11="Liquid"),AF18*_xlfn.XLOOKUP(AF10,'Fuel Conversion Parameters'!$A$2:$A$51,'Fuel Conversion Parameters'!$D$2:$D$51)*10^(-6),
            IF(AND(AF11="Gaseous"),AF18*_xlfn.XLOOKUP(AF10,'Fuel Conversion Parameters'!$A$2:$A$51,'Fuel Conversion Parameters'!$E$2:$E$51)*10^(-3)*10^(-6),"")
        )
    ),
    ""
)</f>
        <v/>
      </c>
      <c r="AI24" s="69" t="str">
        <f>IFERROR(
    IF(AND(AJ11="Solid"),AJ18,
        IF(AND(AJ11="Liquid"),AJ18*_xlfn.XLOOKUP(AJ10,'Fuel Conversion Parameters'!$A$2:$A$51,'Fuel Conversion Parameters'!$D$2:$D$51)*10^(-6),
            IF(AND(AJ11="Gaseous"),AJ18*_xlfn.XLOOKUP(AJ10,'Fuel Conversion Parameters'!$A$2:$A$51,'Fuel Conversion Parameters'!$E$2:$E$51)*10^(-3)*10^(-6),"")
        )
    ),
    ""
)</f>
        <v/>
      </c>
      <c r="AK24" s="10"/>
      <c r="AM24" s="69" t="str">
        <f>IFERROR(
    IF(AND(AN11="Solid"),AN18,
        IF(AND(AN11="Liquid"),AN18*_xlfn.XLOOKUP(AN10,'Fuel Conversion Parameters'!$A$2:$A$51,'Fuel Conversion Parameters'!$D$2:$D$51)*10^(-6),
            IF(AND(AN11="Gaseous"),AN18*_xlfn.XLOOKUP(AN10,'Fuel Conversion Parameters'!$A$2:$A$51,'Fuel Conversion Parameters'!$E$2:$E$51)*10^(-3)*10^(-6),"")
        )
    ),
    ""
)</f>
        <v/>
      </c>
      <c r="AN24" s="10"/>
      <c r="AO24" s="10"/>
      <c r="AQ24" s="69" t="str">
        <f>IFERROR(
    IF(AND(AR11="Solid"),AR18,
        IF(AND(AR11="Liquid"),AR18*_xlfn.XLOOKUP(AR10,'Fuel Conversion Parameters'!$A$2:$A$51,'Fuel Conversion Parameters'!$D$2:$D$51)*10^(-6),
            IF(AND(AR11="Gaseous"),AR18*_xlfn.XLOOKUP(AR10,'Fuel Conversion Parameters'!$A$2:$A$51,'Fuel Conversion Parameters'!$E$2:$E$51)*10^(-3)*10^(-6),"")
        )
    ),
    ""
)</f>
        <v/>
      </c>
    </row>
    <row r="25" spans="1:45">
      <c r="A25" s="69" t="str">
        <f>IFERROR(VLOOKUP(B10, 'Fuel Conversion Parameters'!$A:$C, 3, FALSE), "")</f>
        <v/>
      </c>
      <c r="B25" s="10"/>
      <c r="K25" s="69" t="str">
        <f>IFERROR(VLOOKUP(L10, 'Fuel Conversion Parameters'!$A:$C, 3, FALSE), "")</f>
        <v/>
      </c>
      <c r="O25" s="69" t="str">
        <f>IFERROR(VLOOKUP(P10, 'Fuel Conversion Parameters'!$A:$C, 3, FALSE), "")</f>
        <v/>
      </c>
      <c r="S25" s="69" t="str">
        <f>IFERROR(VLOOKUP(T10, 'Fuel Conversion Parameters'!$A:$C, 3, FALSE), "")</f>
        <v/>
      </c>
      <c r="W25" s="69" t="str">
        <f>IFERROR(VLOOKUP(X10, 'Fuel Conversion Parameters'!$A:$C, 3, FALSE), "")</f>
        <v/>
      </c>
      <c r="AA25" s="69" t="str">
        <f>IFERROR(VLOOKUP(AB10, 'Fuel Conversion Parameters'!$A:$C, 3, FALSE), "")</f>
        <v/>
      </c>
      <c r="AE25" s="69" t="str">
        <f>IFERROR(VLOOKUP(AF10, 'Fuel Conversion Parameters'!$A:$C, 3, FALSE), "")</f>
        <v/>
      </c>
      <c r="AI25" s="69" t="str">
        <f>IFERROR(VLOOKUP(AJ10, 'Fuel Conversion Parameters'!$A:$C, 3, FALSE), "")</f>
        <v/>
      </c>
      <c r="AK25" s="10"/>
      <c r="AM25" s="69" t="str">
        <f>IFERROR(VLOOKUP(AN10, 'Fuel Conversion Parameters'!$A:$C, 3, FALSE), "")</f>
        <v/>
      </c>
      <c r="AN25" s="10"/>
      <c r="AO25" s="10"/>
      <c r="AQ25" s="69" t="str">
        <f>IFERROR(VLOOKUP(AR10, 'Fuel Conversion Parameters'!$A:$C, 3, FALSE), "")</f>
        <v/>
      </c>
    </row>
    <row r="26" spans="1:45">
      <c r="A26" s="200" t="str">
        <f>IFERROR(IF(OR(A24="", A25=""), "", A24*A25), "")</f>
        <v/>
      </c>
      <c r="B26" s="69" t="str">
        <f>IF(B24="m³ - cubic meters",B25*1000,
IF(B24="L - Liter",B25*1,
""))</f>
        <v/>
      </c>
      <c r="K26" s="200" t="str">
        <f>IFERROR(IF(OR(K24="", K25=""), "", K24*K25), "")</f>
        <v/>
      </c>
      <c r="L26" s="69" t="str">
        <f>IF(L24="m³ - cubic meters",L25*1000,
IF(L24="L - Liter",L25*1,
""))</f>
        <v/>
      </c>
      <c r="O26" s="200" t="str">
        <f>IFERROR(IF(OR(O24="", O25=""), "", O24*O25), "")</f>
        <v/>
      </c>
      <c r="P26" s="69" t="str">
        <f>IF(P24="m³ - cubic meters",P25*1000,
IF(P24="L - Liter",P25*1,
""))</f>
        <v/>
      </c>
      <c r="S26" s="200" t="str">
        <f>IFERROR(IF(OR(S24="", S25=""), "", S24*S25), "")</f>
        <v/>
      </c>
      <c r="T26" s="69" t="str">
        <f>IF(T24="m³ - cubic meters",T25*1000,
IF(T24="L - Liter",T25*1,
""))</f>
        <v/>
      </c>
      <c r="W26" s="200" t="str">
        <f>IFERROR(IF(OR(W24="", W25=""), "", W24*W25), "")</f>
        <v/>
      </c>
      <c r="X26" s="69" t="str">
        <f>IF(X24="m³ - cubic meters",X25*1000,
IF(X24="L - Liter",X25*1,
""))</f>
        <v/>
      </c>
      <c r="AA26" s="200" t="str">
        <f>IFERROR(IF(OR(AA24="", AA25=""), "", AA24*AA25), "")</f>
        <v/>
      </c>
      <c r="AB26" s="69" t="str">
        <f>IF(AB24="m³ - cubic meters",AB25*1000,
IF(AB24="L - Liter",AB25*1,
""))</f>
        <v/>
      </c>
      <c r="AE26" s="200" t="str">
        <f>IFERROR(IF(OR(AE24="", AE25=""), "", AE24*AE25), "")</f>
        <v/>
      </c>
      <c r="AF26" s="69" t="str">
        <f>IF(AF24="m³ - cubic meters",AF25*1000,
IF(AF24="L - Liter",AF25*1,
""))</f>
        <v/>
      </c>
      <c r="AI26" s="200" t="str">
        <f>IFERROR(IF(OR(AI24="", AI25=""), "", AI24*AI25), "")</f>
        <v/>
      </c>
      <c r="AJ26" s="69" t="str">
        <f>IF(AJ24="m³ - cubic meters",AJ25*1000,
IF(AJ24="L - Liter",AJ25*1,
""))</f>
        <v/>
      </c>
      <c r="AK26" s="10"/>
      <c r="AM26" s="200" t="str">
        <f>IFERROR(IF(OR(AM24="", AM25=""), "", AM24*AM25), "")</f>
        <v/>
      </c>
      <c r="AN26" s="69" t="str">
        <f>IF(AN24="m³ - cubic meters",AN25*1000,
IF(AN24="L - Liter",AN25*1,
""))</f>
        <v/>
      </c>
      <c r="AO26" s="10"/>
      <c r="AQ26" s="200" t="str">
        <f>IFERROR(IF(OR(AQ24="", AQ25=""), "", AQ24*AQ25), "")</f>
        <v/>
      </c>
      <c r="AR26" s="69" t="str">
        <f>IF(AR24="m³ - cubic meters",AR25*1000,
IF(AR24="L - Liter",AR25*1,
""))</f>
        <v/>
      </c>
    </row>
    <row r="27" spans="1:45" ht="15" thickBot="1">
      <c r="A27" s="10"/>
      <c r="B27" s="10"/>
      <c r="AK27" s="10"/>
      <c r="AM27" s="10"/>
      <c r="AN27" s="10"/>
      <c r="AO27" s="10"/>
    </row>
    <row r="28" spans="1:45" ht="15.75" thickBot="1">
      <c r="A28" s="1070" t="s">
        <v>4344</v>
      </c>
      <c r="B28" s="1071"/>
      <c r="AK28" s="10"/>
      <c r="AM28" s="10"/>
      <c r="AN28" s="10"/>
      <c r="AO28" s="10"/>
    </row>
    <row r="29" spans="1:45" ht="15.75" thickBot="1">
      <c r="A29" s="1072" t="str">
        <f>IFERROR(A32+B32, "-")</f>
        <v>-</v>
      </c>
      <c r="B29" s="1073"/>
      <c r="AK29" s="10"/>
      <c r="AM29" s="10"/>
      <c r="AN29" s="10"/>
      <c r="AO29" s="10"/>
    </row>
    <row r="30" spans="1:45" ht="15" thickBot="1">
      <c r="A30" s="10"/>
      <c r="B30" s="10"/>
      <c r="K30" s="200" t="str">
        <f>IFERROR(K33, "")</f>
        <v/>
      </c>
      <c r="AK30" s="10"/>
      <c r="AM30" s="10"/>
      <c r="AN30" s="10"/>
      <c r="AO30" s="10"/>
    </row>
    <row r="31" spans="1:45" ht="15.75" thickBot="1">
      <c r="A31" s="60" t="s">
        <v>4302</v>
      </c>
      <c r="B31" s="54" t="s">
        <v>4303</v>
      </c>
      <c r="K31" s="200" t="str">
        <f>IFERROR(
    IF(AND(L17&lt;&gt;"",L21="",L25=""),L18,
        IF(AND(L17="",L21&lt;&gt;"",L25=""),L22*_xlfn.XLOOKUP(L10,'Fuel Conversion Parameters'!$A$2:$A$51,'Fuel Conversion Parameters'!$D$2:$D$51)*10^(-6),
            IF(AND(L17="",L21="",L25&lt;&gt;""),L26*_xlfn.XLOOKUP(L10,'Fuel Conversion Parameters'!$A$2:$A$51,'Fuel Conversion Parameters'!$E$2:$E$51)*10^(-3)*10^(-6),"")
        )
    ),
    ""
)</f>
        <v/>
      </c>
      <c r="AK31" s="10"/>
      <c r="AM31" s="10"/>
      <c r="AN31" s="10"/>
      <c r="AO31" s="10"/>
    </row>
    <row r="32" spans="1:45" ht="15.75" thickBot="1">
      <c r="A32" s="66" t="str">
        <f>IFERROR(
    IF(COUNTIF(A22:AQ22, "-")=10, "-",
        SUMIFS(A22, B12, "Renewable") +
        SUMIFS(K22, L12, "Renewable") +
        SUMIFS(O29, P12, "Renewable") +
        SUMIFS(S29, T12, "Renewable") +
        SUMIFS(W29, X12, "Renewable") +
        SUMIFS(AA29, AB12, "Renewable") +
        SUMIFS(AE29, AF12, "Renewable") +
        SUMIFS(AI29, AJ12, "Renewable") +
        SUMIFS(AM29, AN12, "Renewable") +
        SUMIFS(AQ29, AR12, "Renewable")
    ), "-")</f>
        <v>-</v>
      </c>
      <c r="B32" s="66" t="str">
        <f>IFERROR(
    IF(COUNTIF(A22:AQ22, "-")=10, "-",
        SUMIFS(A22, B12, "Non-renewable") +
        SUMIFS(K22, L12, "Non-renewable") +
        SUMIFS(O29, P12, "Non-renewable") +
        SUMIFS(S29, T12, "Non-renewable") +
        SUMIFS(W29, X12, "Non-renewable") +
        SUMIFS(AA29, AB12, "Non-renewable") +
        SUMIFS(AE29, AF12, "Non-renewable") +
        SUMIFS(AI29, AJ12, "Non-renewable") +
        SUMIFS(AM29, AN12, "Non-renewable") +
        SUMIFS(AQ29, AR12, "Non-renewable")
    ), "-")</f>
        <v>-</v>
      </c>
      <c r="K32" s="200" t="str">
        <f>IFERROR(VLOOKUP(L10, 'Fuel Conversion Parameters'!$A:$C, 3, FALSE), "")</f>
        <v/>
      </c>
      <c r="AK32" s="10"/>
      <c r="AM32" s="10"/>
      <c r="AN32" s="10"/>
      <c r="AO32" s="10"/>
    </row>
    <row r="33" spans="1:41">
      <c r="A33" s="200"/>
      <c r="B33" s="10"/>
      <c r="K33" s="200" t="str">
        <f>IFERROR(IF(OR(K31="", K32=""), "", K31*K32), "")</f>
        <v/>
      </c>
      <c r="AK33" s="10"/>
      <c r="AM33" s="10"/>
      <c r="AN33" s="10"/>
      <c r="AO33" s="10"/>
    </row>
    <row r="34" spans="1:41">
      <c r="A34" s="10"/>
      <c r="B34" s="10"/>
      <c r="AK34" s="10"/>
      <c r="AM34" s="10"/>
      <c r="AN34" s="10"/>
      <c r="AO34" s="10"/>
    </row>
    <row r="35" spans="1:41">
      <c r="A35" s="10"/>
      <c r="B35" s="10"/>
      <c r="AK35" s="10"/>
      <c r="AM35" s="10"/>
      <c r="AN35" s="10"/>
      <c r="AO35" s="10"/>
    </row>
    <row r="36" spans="1:41" ht="15">
      <c r="A36" s="21" t="s">
        <v>4470</v>
      </c>
      <c r="B36" s="10"/>
      <c r="AK36" s="10"/>
      <c r="AM36" s="10"/>
      <c r="AN36" s="10"/>
      <c r="AO36" s="10"/>
    </row>
    <row r="37" spans="1:41" ht="227.45" customHeight="1">
      <c r="A37" s="1074" t="s">
        <v>4469</v>
      </c>
      <c r="B37" s="1074"/>
      <c r="AK37" s="10"/>
      <c r="AM37" s="10"/>
      <c r="AN37" s="10"/>
      <c r="AO37" s="10"/>
    </row>
    <row r="38" spans="1:41">
      <c r="A38" s="10"/>
      <c r="B38" s="10"/>
      <c r="AK38" s="10"/>
      <c r="AM38" s="10"/>
      <c r="AN38" s="10"/>
      <c r="AO38" s="10"/>
    </row>
    <row r="39" spans="1:41">
      <c r="A39" s="10"/>
      <c r="B39" s="10"/>
      <c r="AK39" s="10"/>
      <c r="AM39" s="10"/>
      <c r="AN39" s="10"/>
      <c r="AO39" s="10"/>
    </row>
    <row r="40" spans="1:41">
      <c r="A40" s="1069"/>
      <c r="B40" s="1069"/>
      <c r="AK40" s="10"/>
      <c r="AM40" s="10"/>
      <c r="AN40" s="10"/>
      <c r="AO40" s="10"/>
    </row>
    <row r="41" spans="1:41">
      <c r="A41" s="10"/>
      <c r="B41" s="10"/>
      <c r="AK41" s="10"/>
      <c r="AM41" s="10"/>
      <c r="AN41" s="10"/>
      <c r="AO41" s="10"/>
    </row>
    <row r="42" spans="1:41">
      <c r="A42" s="10"/>
      <c r="B42" s="10"/>
      <c r="AK42" s="10"/>
      <c r="AM42" s="10"/>
      <c r="AN42" s="10"/>
      <c r="AO42" s="10"/>
    </row>
    <row r="43" spans="1:41">
      <c r="A43" s="10"/>
      <c r="B43" s="10"/>
      <c r="AK43" s="10"/>
      <c r="AM43" s="10"/>
      <c r="AN43" s="10"/>
      <c r="AO43" s="10"/>
    </row>
    <row r="44" spans="1:41">
      <c r="A44" s="10"/>
      <c r="B44" s="10"/>
      <c r="AK44" s="10"/>
      <c r="AM44" s="10"/>
      <c r="AN44" s="10"/>
      <c r="AO44" s="10"/>
    </row>
    <row r="45" spans="1:41">
      <c r="A45" s="10"/>
      <c r="B45" s="10"/>
      <c r="AK45" s="10"/>
      <c r="AM45" s="10"/>
      <c r="AN45" s="10"/>
      <c r="AO45" s="10"/>
    </row>
    <row r="46" spans="1:41">
      <c r="A46" s="10"/>
      <c r="B46" s="10"/>
      <c r="AK46" s="10"/>
      <c r="AM46" s="10"/>
      <c r="AN46" s="10"/>
      <c r="AO46" s="10"/>
    </row>
    <row r="47" spans="1:41">
      <c r="A47" s="10"/>
      <c r="B47" s="10"/>
      <c r="AK47" s="10"/>
      <c r="AM47" s="10"/>
      <c r="AN47" s="10"/>
      <c r="AO47" s="10"/>
    </row>
    <row r="48" spans="1:41">
      <c r="A48" s="10"/>
      <c r="B48" s="10"/>
      <c r="AK48" s="10"/>
      <c r="AM48" s="10"/>
      <c r="AN48" s="10"/>
      <c r="AO48" s="10"/>
    </row>
    <row r="49" s="10" customFormat="1"/>
    <row r="50" s="10" customFormat="1"/>
    <row r="51" s="10" customFormat="1"/>
    <row r="52" s="10" customFormat="1"/>
    <row r="53" s="10" customFormat="1"/>
    <row r="54" s="10" customFormat="1"/>
    <row r="55" s="10" customFormat="1"/>
    <row r="56" s="10" customFormat="1"/>
    <row r="57" s="10" customFormat="1"/>
    <row r="58" s="10" customFormat="1"/>
    <row r="59" s="10" customFormat="1"/>
    <row r="60" s="10" customFormat="1"/>
    <row r="61" s="10" customFormat="1"/>
    <row r="62" s="10" customFormat="1"/>
    <row r="63" s="10" customFormat="1"/>
    <row r="64" s="10" customFormat="1"/>
    <row r="65" s="10" customFormat="1"/>
    <row r="66" s="10" customFormat="1"/>
    <row r="67" s="10" customFormat="1"/>
    <row r="68" s="10" customFormat="1"/>
    <row r="69" s="10" customFormat="1"/>
    <row r="70" s="10" customFormat="1"/>
    <row r="71" s="10" customFormat="1"/>
    <row r="72" s="10" customFormat="1"/>
    <row r="73" s="10" customFormat="1"/>
    <row r="74" s="10" customFormat="1"/>
    <row r="75" s="10" customFormat="1"/>
    <row r="76" s="10" customFormat="1"/>
    <row r="77" s="10" customFormat="1"/>
    <row r="78" s="10" customFormat="1"/>
    <row r="79" s="10" customFormat="1"/>
    <row r="80" s="10" customFormat="1"/>
    <row r="81" s="10" customFormat="1"/>
    <row r="82" s="10" customFormat="1"/>
    <row r="83" s="10" customFormat="1"/>
    <row r="84" s="10" customFormat="1"/>
    <row r="85" s="10" customFormat="1"/>
    <row r="86" s="10" customFormat="1"/>
    <row r="87" s="10" customFormat="1"/>
    <row r="88" s="10" customFormat="1"/>
    <row r="89" s="10" customFormat="1"/>
    <row r="90" s="10" customFormat="1"/>
    <row r="91" s="10" customFormat="1"/>
    <row r="92" s="10" customFormat="1"/>
    <row r="93" s="10" customFormat="1"/>
    <row r="94" s="10" customFormat="1"/>
    <row r="95" s="10" customFormat="1"/>
    <row r="96" s="10" customFormat="1"/>
    <row r="97" s="10" customFormat="1"/>
    <row r="98" s="10" customFormat="1"/>
    <row r="99" s="10" customFormat="1"/>
    <row r="100" s="10" customFormat="1"/>
    <row r="101" s="10" customFormat="1"/>
    <row r="102" s="10" customFormat="1"/>
    <row r="103" s="10" customFormat="1"/>
    <row r="104" s="10" customFormat="1"/>
    <row r="105" s="10" customFormat="1"/>
    <row r="106" s="10" customFormat="1"/>
    <row r="107" s="10" customFormat="1"/>
    <row r="108" s="10" customFormat="1"/>
    <row r="109" s="10" customFormat="1"/>
    <row r="110" s="10" customFormat="1"/>
    <row r="111" s="10" customFormat="1"/>
    <row r="112" s="10" customFormat="1"/>
    <row r="113" s="10" customFormat="1"/>
    <row r="114" s="10" customFormat="1"/>
    <row r="115" s="10" customFormat="1"/>
    <row r="116" s="10" customFormat="1"/>
    <row r="117" s="10" customFormat="1"/>
    <row r="118" s="10" customFormat="1"/>
    <row r="119" s="10" customFormat="1"/>
    <row r="120" s="10" customFormat="1"/>
    <row r="121" s="10" customFormat="1"/>
    <row r="122" s="10" customFormat="1"/>
    <row r="123" s="10" customFormat="1"/>
    <row r="124" s="10" customFormat="1"/>
    <row r="125" s="10" customFormat="1"/>
    <row r="126" s="10" customFormat="1"/>
    <row r="127" s="10" customFormat="1"/>
    <row r="128" s="10" customFormat="1"/>
    <row r="129" s="10" customFormat="1"/>
    <row r="130" s="10" customFormat="1"/>
    <row r="131" s="10" customFormat="1"/>
    <row r="132" s="10" customFormat="1"/>
    <row r="133" s="10" customFormat="1"/>
    <row r="134" s="10" customFormat="1"/>
    <row r="135" s="10" customFormat="1"/>
    <row r="136" s="10" customFormat="1"/>
    <row r="137" s="10" customFormat="1"/>
    <row r="138" s="10" customFormat="1"/>
    <row r="139" s="10" customFormat="1"/>
    <row r="140" s="10" customFormat="1"/>
  </sheetData>
  <sheetProtection algorithmName="SHA-512" hashValue="i8WlUvyQidLEytEGnmVs4KCAKRmszd8+4Um6T8QmIi56sewj5dB9djgwD4lt0SNqqXoyYYUWhAXuSQzqI4p1Cg==" saltValue="vIJPbw5KMknoV2XkcEO2SA==" spinCount="100000" sheet="1" formatColumns="0" formatRows="0"/>
  <mergeCells count="8">
    <mergeCell ref="B5:D5"/>
    <mergeCell ref="A3:J3"/>
    <mergeCell ref="A40:B40"/>
    <mergeCell ref="A28:B28"/>
    <mergeCell ref="A29:B29"/>
    <mergeCell ref="B7:D7"/>
    <mergeCell ref="B6:D6"/>
    <mergeCell ref="A37:B37"/>
  </mergeCells>
  <conditionalFormatting sqref="A5">
    <cfRule type="expression" dxfId="82" priority="111">
      <formula>OR($B$11="Solid", $B$11="Gas")</formula>
    </cfRule>
  </conditionalFormatting>
  <conditionalFormatting sqref="B11">
    <cfRule type="expression" dxfId="81" priority="109">
      <formula>$B$11="MISSING VALUE"</formula>
    </cfRule>
  </conditionalFormatting>
  <conditionalFormatting sqref="B12">
    <cfRule type="expression" dxfId="80" priority="110">
      <formula>$B$12="MISSING VALUE"</formula>
    </cfRule>
  </conditionalFormatting>
  <conditionalFormatting sqref="C16">
    <cfRule type="expression" dxfId="79" priority="79">
      <formula>C$16="Solid fuel: please change unit of measurement, select one among Gg, t, Kg and g"</formula>
    </cfRule>
    <cfRule type="expression" dxfId="78" priority="80">
      <formula>C$16="Solid fuel: please select one unit of measurement among Gg, t, Kg and g"</formula>
    </cfRule>
    <cfRule type="expression" dxfId="77" priority="81">
      <formula>C$16="Gaseous fuel: please change unit of measurement, select one among m³ and L"</formula>
    </cfRule>
    <cfRule type="expression" dxfId="76" priority="82">
      <formula>C$16="Liquid fuel: please change unit of measurement, select one among m³ and L"</formula>
    </cfRule>
    <cfRule type="expression" dxfId="75" priority="83">
      <formula>C$16="Gaseous fuel: please select one unit of measurement among m³ and L"</formula>
    </cfRule>
    <cfRule type="expression" dxfId="74" priority="84">
      <formula>C$16="Liquid fuel: please select one unit of measurement among m³ and L"</formula>
    </cfRule>
  </conditionalFormatting>
  <conditionalFormatting sqref="L11">
    <cfRule type="expression" dxfId="73" priority="85">
      <formula>$L$11="MISSING VALUE"</formula>
    </cfRule>
  </conditionalFormatting>
  <conditionalFormatting sqref="L12">
    <cfRule type="expression" dxfId="72" priority="104">
      <formula>$L$12="MISSING VALUE"</formula>
    </cfRule>
  </conditionalFormatting>
  <conditionalFormatting sqref="M16">
    <cfRule type="expression" dxfId="71" priority="49">
      <formula>M$16="Solid fuel: please change unit of measurement, select one among Gg, t, Kg and g"</formula>
    </cfRule>
    <cfRule type="expression" dxfId="70" priority="50">
      <formula>M$16="Solid fuel: please select one unit of measurement among Gg, t, Kg and g"</formula>
    </cfRule>
    <cfRule type="expression" dxfId="69" priority="51">
      <formula>M$16="Gaseous fuel: please change unit of measurement, select one among m³ and L"</formula>
    </cfRule>
    <cfRule type="expression" dxfId="68" priority="52">
      <formula>M$16="Liquid fuel: please change unit of measurement, select one among m³ and L"</formula>
    </cfRule>
    <cfRule type="expression" dxfId="67" priority="53">
      <formula>M$16="Gaseous fuel: please select one unit of measurement among m³ and L"</formula>
    </cfRule>
    <cfRule type="expression" dxfId="66" priority="54">
      <formula>M$16="Liquid fuel: please select one unit of measurement among m³ and L"</formula>
    </cfRule>
  </conditionalFormatting>
  <conditionalFormatting sqref="P11">
    <cfRule type="expression" dxfId="65" priority="103">
      <formula>$P$11="MISSING VALUE"</formula>
    </cfRule>
  </conditionalFormatting>
  <conditionalFormatting sqref="P12">
    <cfRule type="expression" dxfId="64" priority="94">
      <formula>$P$12="MISSING VALUE"</formula>
    </cfRule>
  </conditionalFormatting>
  <conditionalFormatting sqref="Q16">
    <cfRule type="expression" dxfId="63" priority="43">
      <formula>Q$16="Solid fuel: please change unit of measurement, select one among Gg, t, Kg and g"</formula>
    </cfRule>
    <cfRule type="expression" dxfId="62" priority="44">
      <formula>Q$16="Solid fuel: please select one unit of measurement among Gg, t, Kg and g"</formula>
    </cfRule>
    <cfRule type="expression" dxfId="61" priority="45">
      <formula>Q$16="Gaseous fuel: please change unit of measurement, select one among m³ and L"</formula>
    </cfRule>
    <cfRule type="expression" dxfId="60" priority="46">
      <formula>Q$16="Liquid fuel: please change unit of measurement, select one among m³ and L"</formula>
    </cfRule>
    <cfRule type="expression" dxfId="59" priority="47">
      <formula>Q$16="Gaseous fuel: please select one unit of measurement among m³ and L"</formula>
    </cfRule>
    <cfRule type="expression" dxfId="58" priority="48">
      <formula>Q$16="Liquid fuel: please select one unit of measurement among m³ and L"</formula>
    </cfRule>
  </conditionalFormatting>
  <conditionalFormatting sqref="T11">
    <cfRule type="expression" dxfId="57" priority="102">
      <formula>$T$11="MISSING VALUE"</formula>
    </cfRule>
  </conditionalFormatting>
  <conditionalFormatting sqref="T12">
    <cfRule type="expression" dxfId="56" priority="93">
      <formula>$T$12="MISSING VALUE"</formula>
    </cfRule>
  </conditionalFormatting>
  <conditionalFormatting sqref="U16">
    <cfRule type="expression" dxfId="55" priority="37">
      <formula>U$16="Solid fuel: please change unit of measurement, select one among Gg, t, Kg and g"</formula>
    </cfRule>
    <cfRule type="expression" dxfId="54" priority="38">
      <formula>U$16="Solid fuel: please select one unit of measurement among Gg, t, Kg and g"</formula>
    </cfRule>
    <cfRule type="expression" dxfId="53" priority="39">
      <formula>U$16="Gaseous fuel: please change unit of measurement, select one among m³ and L"</formula>
    </cfRule>
    <cfRule type="expression" dxfId="52" priority="40">
      <formula>U$16="Liquid fuel: please change unit of measurement, select one among m³ and L"</formula>
    </cfRule>
    <cfRule type="expression" dxfId="51" priority="41">
      <formula>U$16="Gaseous fuel: please select one unit of measurement among m³ and L"</formula>
    </cfRule>
    <cfRule type="expression" dxfId="50" priority="42">
      <formula>U$16="Liquid fuel: please select one unit of measurement among m³ and L"</formula>
    </cfRule>
  </conditionalFormatting>
  <conditionalFormatting sqref="X11">
    <cfRule type="expression" dxfId="49" priority="101">
      <formula>$X$11="MISSING VALUE"</formula>
    </cfRule>
  </conditionalFormatting>
  <conditionalFormatting sqref="X12">
    <cfRule type="expression" dxfId="48" priority="92">
      <formula>$X$12="MISSING VALUE"</formula>
    </cfRule>
  </conditionalFormatting>
  <conditionalFormatting sqref="Y16">
    <cfRule type="expression" dxfId="47" priority="31">
      <formula>Y$16="Solid fuel: please change unit of measurement, select one among Gg, t, Kg and g"</formula>
    </cfRule>
    <cfRule type="expression" dxfId="46" priority="32">
      <formula>Y$16="Solid fuel: please select one unit of measurement among Gg, t, Kg and g"</formula>
    </cfRule>
    <cfRule type="expression" dxfId="45" priority="33">
      <formula>Y$16="Gaseous fuel: please change unit of measurement, select one among m³ and L"</formula>
    </cfRule>
    <cfRule type="expression" dxfId="44" priority="34">
      <formula>Y$16="Liquid fuel: please change unit of measurement, select one among m³ and L"</formula>
    </cfRule>
    <cfRule type="expression" dxfId="43" priority="35">
      <formula>Y$16="Gaseous fuel: please select one unit of measurement among m³ and L"</formula>
    </cfRule>
    <cfRule type="expression" dxfId="42" priority="36">
      <formula>Y$16="Liquid fuel: please select one unit of measurement among m³ and L"</formula>
    </cfRule>
  </conditionalFormatting>
  <conditionalFormatting sqref="AB11">
    <cfRule type="expression" dxfId="41" priority="100">
      <formula>$AB$11="MISSING VALUE"</formula>
    </cfRule>
  </conditionalFormatting>
  <conditionalFormatting sqref="AB12">
    <cfRule type="expression" dxfId="40" priority="91">
      <formula>$AB12="MISSING VALUE"</formula>
    </cfRule>
  </conditionalFormatting>
  <conditionalFormatting sqref="AC16">
    <cfRule type="expression" dxfId="39" priority="25">
      <formula>AC$16="Solid fuel: please change unit of measurement, select one among Gg, t, Kg and g"</formula>
    </cfRule>
    <cfRule type="expression" dxfId="38" priority="26">
      <formula>AC$16="Solid fuel: please select one unit of measurement among Gg, t, Kg and g"</formula>
    </cfRule>
    <cfRule type="expression" dxfId="37" priority="27">
      <formula>AC$16="Gaseous fuel: please change unit of measurement, select one among m³ and L"</formula>
    </cfRule>
    <cfRule type="expression" dxfId="36" priority="28">
      <formula>AC$16="Liquid fuel: please change unit of measurement, select one among m³ and L"</formula>
    </cfRule>
    <cfRule type="expression" dxfId="35" priority="29">
      <formula>AC$16="Gaseous fuel: please select one unit of measurement among m³ and L"</formula>
    </cfRule>
    <cfRule type="expression" dxfId="34" priority="30">
      <formula>AC$16="Liquid fuel: please select one unit of measurement among m³ and L"</formula>
    </cfRule>
  </conditionalFormatting>
  <conditionalFormatting sqref="AF11">
    <cfRule type="expression" dxfId="33" priority="99">
      <formula>$AF$11="MISSING VALUE"</formula>
    </cfRule>
  </conditionalFormatting>
  <conditionalFormatting sqref="AF12">
    <cfRule type="expression" dxfId="32" priority="90">
      <formula>$AF$12="MISSING VALUE"</formula>
    </cfRule>
  </conditionalFormatting>
  <conditionalFormatting sqref="AG16">
    <cfRule type="expression" dxfId="31" priority="19">
      <formula>AG$16="Solid fuel: please change unit of measurement, select one among Gg, t, Kg and g"</formula>
    </cfRule>
    <cfRule type="expression" dxfId="30" priority="20">
      <formula>AG$16="Solid fuel: please select one unit of measurement among Gg, t, Kg and g"</formula>
    </cfRule>
    <cfRule type="expression" dxfId="29" priority="21">
      <formula>AG$16="Gaseous fuel: please change unit of measurement, select one among m³ and L"</formula>
    </cfRule>
    <cfRule type="expression" dxfId="28" priority="22">
      <formula>AG$16="Liquid fuel: please change unit of measurement, select one among m³ and L"</formula>
    </cfRule>
    <cfRule type="expression" dxfId="27" priority="23">
      <formula>AG$16="Gaseous fuel: please select one unit of measurement among m³ and L"</formula>
    </cfRule>
    <cfRule type="expression" dxfId="26" priority="24">
      <formula>AG$16="Liquid fuel: please select one unit of measurement among m³ and L"</formula>
    </cfRule>
  </conditionalFormatting>
  <conditionalFormatting sqref="AJ11">
    <cfRule type="expression" dxfId="25" priority="98">
      <formula>$AJ$11="MISSING VALUE"</formula>
    </cfRule>
  </conditionalFormatting>
  <conditionalFormatting sqref="AJ12">
    <cfRule type="expression" dxfId="24" priority="89">
      <formula>$AJ$12="MISSING VALUE"</formula>
    </cfRule>
  </conditionalFormatting>
  <conditionalFormatting sqref="AK16">
    <cfRule type="expression" dxfId="23" priority="13">
      <formula>AK$16="Solid fuel: please change unit of measurement, select one among Gg, t, Kg and g"</formula>
    </cfRule>
    <cfRule type="expression" dxfId="22" priority="14">
      <formula>AK$16="Solid fuel: please select one unit of measurement among Gg, t, Kg and g"</formula>
    </cfRule>
    <cfRule type="expression" dxfId="21" priority="15">
      <formula>AK$16="Gaseous fuel: please change unit of measurement, select one among m³ and L"</formula>
    </cfRule>
    <cfRule type="expression" dxfId="20" priority="16">
      <formula>AK$16="Liquid fuel: please change unit of measurement, select one among m³ and L"</formula>
    </cfRule>
    <cfRule type="expression" dxfId="19" priority="17">
      <formula>AK$16="Gaseous fuel: please select one unit of measurement among m³ and L"</formula>
    </cfRule>
    <cfRule type="expression" dxfId="18" priority="18">
      <formula>AK$16="Liquid fuel: please select one unit of measurement among m³ and L"</formula>
    </cfRule>
  </conditionalFormatting>
  <conditionalFormatting sqref="AN11">
    <cfRule type="expression" dxfId="17" priority="97">
      <formula>$AN$11="MISSING VALUE"</formula>
    </cfRule>
  </conditionalFormatting>
  <conditionalFormatting sqref="AN12">
    <cfRule type="expression" dxfId="16" priority="88">
      <formula>$AN$12="MISSING VALUE"</formula>
    </cfRule>
  </conditionalFormatting>
  <conditionalFormatting sqref="AO16">
    <cfRule type="expression" dxfId="15" priority="7">
      <formula>AO$16="Solid fuel: please change unit of measurement, select one among Gg, t, Kg and g"</formula>
    </cfRule>
    <cfRule type="expression" dxfId="14" priority="8">
      <formula>AO$16="Solid fuel: please select one unit of measurement among Gg, t, Kg and g"</formula>
    </cfRule>
    <cfRule type="expression" dxfId="13" priority="9">
      <formula>AO$16="Gaseous fuel: please change unit of measurement, select one among m³ and L"</formula>
    </cfRule>
    <cfRule type="expression" dxfId="12" priority="10">
      <formula>AO$16="Liquid fuel: please change unit of measurement, select one among m³ and L"</formula>
    </cfRule>
    <cfRule type="expression" dxfId="11" priority="11">
      <formula>AO$16="Gaseous fuel: please select one unit of measurement among m³ and L"</formula>
    </cfRule>
    <cfRule type="expression" dxfId="10" priority="12">
      <formula>AO$16="Liquid fuel: please select one unit of measurement among m³ and L"</formula>
    </cfRule>
  </conditionalFormatting>
  <conditionalFormatting sqref="AR11">
    <cfRule type="expression" dxfId="9" priority="96">
      <formula>$AR$11="MISSING VALUE"</formula>
    </cfRule>
  </conditionalFormatting>
  <conditionalFormatting sqref="AR12">
    <cfRule type="expression" dxfId="8" priority="86">
      <formula>$AR$12="MISSING VALUE"</formula>
    </cfRule>
  </conditionalFormatting>
  <conditionalFormatting sqref="AS16">
    <cfRule type="expression" dxfId="7" priority="1">
      <formula>AS$16="Solid fuel: please change unit of measurement, select one among Gg, t, Kg and g"</formula>
    </cfRule>
    <cfRule type="expression" dxfId="6" priority="2">
      <formula>AS$16="Solid fuel: please select one unit of measurement among Gg, t, Kg and g"</formula>
    </cfRule>
    <cfRule type="expression" dxfId="5" priority="3">
      <formula>AS$16="Gaseous fuel: please change unit of measurement, select one among m³ and L"</formula>
    </cfRule>
    <cfRule type="expression" dxfId="4" priority="4">
      <formula>AS$16="Liquid fuel: please change unit of measurement, select one among m³ and L"</formula>
    </cfRule>
    <cfRule type="expression" dxfId="3" priority="5">
      <formula>AS$16="Gaseous fuel: please select one unit of measurement among m³ and L"</formula>
    </cfRule>
    <cfRule type="expression" dxfId="2" priority="6">
      <formula>AS$16="Liquid fuel: please select one unit of measurement among m³ and L"</formula>
    </cfRule>
  </conditionalFormatting>
  <dataValidations count="10">
    <dataValidation type="list" allowBlank="1" showInputMessage="1" showErrorMessage="1" sqref="AR10 L10 P10 T10 X10 AB10 AF10 AJ10 AN10">
      <formula1>enum_ListFuel</formula1>
    </dataValidation>
    <dataValidation type="custom" allowBlank="1" showInputMessage="1" showErrorMessage="1" sqref="K30">
      <formula1>IFERROR(K33, "")</formula1>
    </dataValidation>
    <dataValidation type="custom" allowBlank="1" showInputMessage="1" showErrorMessage="1" sqref="K33">
      <formula1>IFERROR(IF(OR(K31="", K32=""), "", K31*K32), "")</formula1>
    </dataValidation>
    <dataValidation allowBlank="1" showInputMessage="1" showErrorMessage="1" promptTitle="Error message" prompt="When it is displayed the error message it means that the NCV or the Density is lacking. Please provide the value for the lacking measure for the fuel of interest." sqref="A22 K22 O22 S22 W22 AA22 AE22 AI22 AM22 AQ22"/>
    <dataValidation allowBlank="1" showInputMessage="1" showErrorMessage="1" promptTitle="Missing value (State of matter)" prompt="When the cell displays &quot;MISSING VALUE&quot;, please provide the State of matter for the respective fuel writing &quot;Solid&quot;, &quot;Liquid&quot; or &quot;Gaseous&quot; in the appropriate cell." sqref="AR11 T11 B11 L11 P11 X11 AB11 AF11 AJ11 AN11"/>
    <dataValidation allowBlank="1" showInputMessage="1" showErrorMessage="1" promptTitle="Missing value (Renewability)" prompt="When the cell displays &quot;MISSING VALUE&quot;, please provide the Renewability for the respective fuel writing &quot;Renewable&quot; or &quot;Non-renewable&quot; in the appropriate cell." sqref="AR12 B12 L12 P12 T12 X12 AB12 AF12 AJ12 AN12"/>
    <dataValidation type="list" allowBlank="1" showInputMessage="1" showErrorMessage="1" prompt="Please select one of the fuel from the dropdown list" sqref="B10">
      <formula1>enum_ListFuel</formula1>
    </dataValidation>
    <dataValidation type="list" allowBlank="1" showInputMessage="1" showErrorMessage="1" prompt="Please select one of the appropriate units of measurement from the dropdown list" sqref="B16 L16 P16 T16 X16 AB16 AF16 AJ16 AN16 AR16">
      <formula1>enum_ListVolumeMass</formula1>
    </dataValidation>
    <dataValidation type="decimal" operator="equal" showInputMessage="1" showErrorMessage="1" prompt="Please insert only numbers" sqref="B17 L17 P17 T17 X17 AB17 AF17 AJ17 AN17 AR17">
      <formula1>B17</formula1>
    </dataValidation>
    <dataValidation type="custom" showInputMessage="1" showErrorMessage="1" sqref="A33">
      <formula1>IFERROR(IF(OR(#REF!="", #REF!=""), "", #REF!*#REF!), "")</formula1>
    </dataValidation>
  </dataValidations>
  <hyperlinks>
    <hyperlink ref="E16" location="template_further_notes" display="7. Further notes below"/>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custom" allowBlank="1" showInputMessage="1" showErrorMessage="1">
          <x14:formula1>
            <xm:f>IFERROR(VLOOKUP(L10, 'Fuel Conversion Parameters'!#REF!, 3, FALSE), "")</xm:f>
          </x14:formula1>
          <xm:sqref>K32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08"/>
  <sheetViews>
    <sheetView zoomScale="70" zoomScaleNormal="70" workbookViewId="0"/>
  </sheetViews>
  <sheetFormatPr baseColWidth="10" defaultColWidth="8.875" defaultRowHeight="14.25"/>
  <cols>
    <col min="1" max="1" width="82.5" customWidth="1"/>
    <col min="2" max="2" width="14.125" bestFit="1" customWidth="1"/>
    <col min="3" max="3" width="18.625" bestFit="1" customWidth="1"/>
    <col min="4" max="4" width="20.5" bestFit="1" customWidth="1"/>
    <col min="5" max="5" width="21.125" bestFit="1" customWidth="1"/>
    <col min="6" max="6" width="25.5" bestFit="1" customWidth="1"/>
    <col min="7" max="8" width="15.375" hidden="1" customWidth="1"/>
    <col min="9" max="9" width="20.5" hidden="1" customWidth="1"/>
    <col min="10" max="11" width="8.875" hidden="1" customWidth="1"/>
    <col min="12" max="12" width="23.875" hidden="1" customWidth="1"/>
    <col min="13" max="13" width="20.75" hidden="1" customWidth="1"/>
    <col min="14" max="14" width="17.75" hidden="1" customWidth="1"/>
    <col min="15" max="15" width="14.625" hidden="1" customWidth="1"/>
    <col min="16" max="16" width="27.125" hidden="1" customWidth="1"/>
    <col min="17" max="17" width="23.875" hidden="1" customWidth="1"/>
    <col min="18" max="18" width="20.75" hidden="1" customWidth="1"/>
    <col min="19" max="19" width="17.75" hidden="1" customWidth="1"/>
    <col min="20" max="21" width="8.875" hidden="1" customWidth="1"/>
    <col min="22" max="22" width="38.5" hidden="1" customWidth="1"/>
    <col min="23" max="23" width="42.625" hidden="1" customWidth="1"/>
    <col min="24" max="24" width="42.75" hidden="1" customWidth="1"/>
    <col min="25" max="25" width="48.75" hidden="1" customWidth="1"/>
    <col min="26" max="26" width="33.5" hidden="1" customWidth="1"/>
    <col min="27" max="27" width="36.5" hidden="1" customWidth="1"/>
    <col min="28" max="28" width="39.5" hidden="1" customWidth="1"/>
    <col min="29" max="29" width="42.5" hidden="1" customWidth="1"/>
    <col min="30" max="30" width="27.5" hidden="1" customWidth="1"/>
    <col min="31" max="31" width="30.5" hidden="1" customWidth="1"/>
    <col min="32" max="32" width="33.5" hidden="1" customWidth="1"/>
    <col min="33" max="33" width="36.625" hidden="1" customWidth="1"/>
    <col min="34" max="34" width="24.25" hidden="1" customWidth="1"/>
    <col min="35" max="35" width="27.125" hidden="1" customWidth="1"/>
    <col min="36" max="36" width="30.5" hidden="1" customWidth="1"/>
    <col min="37" max="37" width="33.375" hidden="1" customWidth="1"/>
    <col min="38" max="39" width="8.875" hidden="1" customWidth="1"/>
    <col min="40" max="40" width="28" hidden="1" customWidth="1"/>
    <col min="41" max="41" width="29" hidden="1" customWidth="1"/>
    <col min="42" max="42" width="26" hidden="1" customWidth="1"/>
    <col min="43" max="43" width="24.875" hidden="1" customWidth="1"/>
    <col min="44" max="45" width="21.875" hidden="1" customWidth="1"/>
    <col min="46" max="46" width="24.625" hidden="1" customWidth="1"/>
    <col min="47" max="47" width="18.125" hidden="1" customWidth="1"/>
    <col min="48" max="48" width="21.25" hidden="1" customWidth="1"/>
    <col min="49" max="49" width="13.5" hidden="1" customWidth="1"/>
    <col min="50" max="50" width="22.5" hidden="1" customWidth="1"/>
    <col min="51" max="51" width="7.125" customWidth="1"/>
    <col min="52" max="52" width="9.125" customWidth="1"/>
  </cols>
  <sheetData>
    <row r="1" spans="1:51" ht="30.75" thickBot="1">
      <c r="A1" s="202" t="s">
        <v>3656</v>
      </c>
      <c r="B1" s="203" t="s">
        <v>3745</v>
      </c>
      <c r="C1" s="204" t="s">
        <v>3808</v>
      </c>
      <c r="D1" s="205" t="s">
        <v>3809</v>
      </c>
      <c r="E1" s="206" t="s">
        <v>3810</v>
      </c>
      <c r="F1" s="245" t="s">
        <v>4366</v>
      </c>
      <c r="G1" s="26" t="s">
        <v>3657</v>
      </c>
      <c r="H1" s="104" t="s">
        <v>3658</v>
      </c>
      <c r="I1" s="26" t="s">
        <v>3659</v>
      </c>
      <c r="J1" s="26" t="s">
        <v>4464</v>
      </c>
      <c r="K1" s="27" t="s">
        <v>3660</v>
      </c>
      <c r="L1" s="27" t="s">
        <v>3661</v>
      </c>
      <c r="M1" s="27" t="s">
        <v>3662</v>
      </c>
      <c r="N1" s="27" t="s">
        <v>3663</v>
      </c>
      <c r="O1" s="27" t="s">
        <v>3664</v>
      </c>
      <c r="P1" s="27" t="s">
        <v>3665</v>
      </c>
      <c r="Q1" s="27" t="s">
        <v>3666</v>
      </c>
      <c r="R1" s="27" t="s">
        <v>3667</v>
      </c>
      <c r="S1" s="27" t="s">
        <v>3668</v>
      </c>
      <c r="T1" s="14"/>
      <c r="U1" s="27" t="s">
        <v>3660</v>
      </c>
      <c r="V1" s="27" t="s">
        <v>3669</v>
      </c>
      <c r="W1" s="27" t="s">
        <v>3670</v>
      </c>
      <c r="X1" s="27" t="s">
        <v>3671</v>
      </c>
      <c r="Y1" s="27" t="s">
        <v>3672</v>
      </c>
      <c r="Z1" s="27" t="s">
        <v>3746</v>
      </c>
      <c r="AA1" s="27" t="s">
        <v>3747</v>
      </c>
      <c r="AB1" s="27" t="s">
        <v>3748</v>
      </c>
      <c r="AC1" s="27" t="s">
        <v>3749</v>
      </c>
      <c r="AD1" s="27" t="s">
        <v>3673</v>
      </c>
      <c r="AE1" s="27" t="s">
        <v>3674</v>
      </c>
      <c r="AF1" s="27" t="s">
        <v>3675</v>
      </c>
      <c r="AG1" s="27" t="s">
        <v>3676</v>
      </c>
      <c r="AH1" s="27" t="s">
        <v>3677</v>
      </c>
      <c r="AI1" s="27" t="s">
        <v>3678</v>
      </c>
      <c r="AJ1" s="27" t="s">
        <v>3679</v>
      </c>
      <c r="AK1" s="27" t="s">
        <v>3680</v>
      </c>
      <c r="AL1" s="8"/>
      <c r="AM1" s="217" t="s">
        <v>3660</v>
      </c>
      <c r="AN1" s="218" t="s">
        <v>4346</v>
      </c>
      <c r="AO1" s="218" t="s">
        <v>4353</v>
      </c>
      <c r="AP1" s="218" t="s">
        <v>4347</v>
      </c>
      <c r="AQ1" s="218" t="s">
        <v>4348</v>
      </c>
      <c r="AR1" s="218" t="s">
        <v>4349</v>
      </c>
      <c r="AS1" s="218" t="s">
        <v>4350</v>
      </c>
      <c r="AT1" s="218" t="s">
        <v>4351</v>
      </c>
      <c r="AU1" s="218" t="s">
        <v>4352</v>
      </c>
      <c r="AW1" s="204" t="s">
        <v>3745</v>
      </c>
      <c r="AX1" s="245" t="s">
        <v>4366</v>
      </c>
      <c r="AY1" s="360" t="s">
        <v>4477</v>
      </c>
    </row>
    <row r="2" spans="1:51" ht="15.75" thickBot="1">
      <c r="A2" s="435" t="s">
        <v>3681</v>
      </c>
      <c r="B2" s="207" t="s">
        <v>3682</v>
      </c>
      <c r="C2" s="208">
        <v>26.7</v>
      </c>
      <c r="D2" s="352"/>
      <c r="E2" s="353"/>
      <c r="F2" s="250" t="s">
        <v>3779</v>
      </c>
      <c r="G2" s="248" t="s">
        <v>3683</v>
      </c>
      <c r="H2" s="56" t="s">
        <v>3684</v>
      </c>
      <c r="I2" s="3" t="s">
        <v>3685</v>
      </c>
      <c r="J2" s="1" t="s">
        <v>3683</v>
      </c>
      <c r="K2" s="28" t="s">
        <v>3661</v>
      </c>
      <c r="L2" s="29">
        <v>1</v>
      </c>
      <c r="M2" s="30">
        <v>1E-3</v>
      </c>
      <c r="N2" s="30">
        <v>9.9999999999999995E-7</v>
      </c>
      <c r="O2" s="30">
        <v>1.0000000000000001E-9</v>
      </c>
      <c r="P2" s="30">
        <v>1000</v>
      </c>
      <c r="Q2" s="30">
        <v>1</v>
      </c>
      <c r="R2" s="30">
        <v>1E-3</v>
      </c>
      <c r="S2" s="31">
        <v>9.9999999999999995E-7</v>
      </c>
      <c r="U2" s="28" t="s">
        <v>3669</v>
      </c>
      <c r="V2" s="42">
        <v>1</v>
      </c>
      <c r="W2" s="43">
        <v>1000</v>
      </c>
      <c r="X2" s="43">
        <v>1000000</v>
      </c>
      <c r="Y2" s="43">
        <v>1000000000</v>
      </c>
      <c r="Z2" s="43">
        <v>1E-3</v>
      </c>
      <c r="AA2" s="43">
        <v>1</v>
      </c>
      <c r="AB2" s="43">
        <v>1000</v>
      </c>
      <c r="AC2" s="43">
        <v>1000000</v>
      </c>
      <c r="AD2" s="43">
        <v>9.9999999999999998E-13</v>
      </c>
      <c r="AE2" s="43">
        <v>1.0000000000000001E-9</v>
      </c>
      <c r="AF2" s="43">
        <v>9.9999999999999995E-7</v>
      </c>
      <c r="AG2" s="43">
        <v>1E-3</v>
      </c>
      <c r="AH2" s="48">
        <v>2.7799999999999998E-13</v>
      </c>
      <c r="AI2" s="48">
        <v>2.7800000000000002E-10</v>
      </c>
      <c r="AJ2" s="48">
        <v>2.7799999999999997E-7</v>
      </c>
      <c r="AK2" s="49">
        <v>2.7799999999999998E-4</v>
      </c>
      <c r="AM2" s="219" t="s">
        <v>4346</v>
      </c>
      <c r="AN2" s="220">
        <v>1</v>
      </c>
      <c r="AO2" s="220">
        <v>0.1</v>
      </c>
      <c r="AP2" s="221">
        <v>0.01</v>
      </c>
      <c r="AQ2" s="221">
        <v>1E-3</v>
      </c>
      <c r="AR2" s="221">
        <v>9.9999999999999995E-7</v>
      </c>
      <c r="AS2" s="221">
        <v>9.9999999999999995E-7</v>
      </c>
      <c r="AT2" s="221">
        <v>1.0000000000000001E-9</v>
      </c>
      <c r="AU2" s="222">
        <v>9.9999999999999998E-13</v>
      </c>
      <c r="AW2" s="3" t="s">
        <v>3682</v>
      </c>
      <c r="AX2" s="3" t="s">
        <v>3778</v>
      </c>
      <c r="AY2" s="361"/>
    </row>
    <row r="3" spans="1:51" ht="15.75" thickBot="1">
      <c r="A3" s="436" t="s">
        <v>3686</v>
      </c>
      <c r="B3" s="207" t="s">
        <v>3687</v>
      </c>
      <c r="C3" s="209">
        <v>44.3</v>
      </c>
      <c r="D3" s="168">
        <v>0.71</v>
      </c>
      <c r="E3" s="354"/>
      <c r="F3" s="251" t="s">
        <v>3779</v>
      </c>
      <c r="G3" s="249" t="s">
        <v>3688</v>
      </c>
      <c r="H3" s="7" t="s">
        <v>3689</v>
      </c>
      <c r="I3" s="1" t="s">
        <v>3690</v>
      </c>
      <c r="J3" s="1" t="s">
        <v>3688</v>
      </c>
      <c r="K3" s="32" t="s">
        <v>3662</v>
      </c>
      <c r="L3" s="33">
        <v>1000</v>
      </c>
      <c r="M3" s="34">
        <v>1</v>
      </c>
      <c r="N3" s="34">
        <v>1E-3</v>
      </c>
      <c r="O3" s="34">
        <v>9.9999999999999995E-7</v>
      </c>
      <c r="P3" s="34">
        <v>1000000</v>
      </c>
      <c r="Q3" s="34">
        <v>1000</v>
      </c>
      <c r="R3" s="34">
        <v>1</v>
      </c>
      <c r="S3" s="35">
        <v>1E-3</v>
      </c>
      <c r="U3" s="32" t="s">
        <v>3670</v>
      </c>
      <c r="V3" s="41">
        <v>1E-3</v>
      </c>
      <c r="W3" s="40">
        <v>1</v>
      </c>
      <c r="X3" s="40">
        <v>1000</v>
      </c>
      <c r="Y3" s="40">
        <v>1000000</v>
      </c>
      <c r="Z3" s="40">
        <v>9.9999999999999995E-7</v>
      </c>
      <c r="AA3" s="40">
        <v>1E-3</v>
      </c>
      <c r="AB3" s="40">
        <v>1</v>
      </c>
      <c r="AC3" s="40">
        <v>1000</v>
      </c>
      <c r="AD3" s="40">
        <v>1.0000000000000001E-15</v>
      </c>
      <c r="AE3" s="40">
        <v>9.9999999999999998E-13</v>
      </c>
      <c r="AF3" s="40">
        <v>1.0000000000000001E-9</v>
      </c>
      <c r="AG3" s="40">
        <v>9.9999999999999995E-7</v>
      </c>
      <c r="AH3" s="46">
        <v>2.7799999999999998E-16</v>
      </c>
      <c r="AI3" s="46">
        <v>2.7800000000000002E-10</v>
      </c>
      <c r="AJ3" s="46">
        <v>2.7799999999999997E-7</v>
      </c>
      <c r="AK3" s="50">
        <v>2.7799999999999998E-4</v>
      </c>
      <c r="AM3" s="219" t="s">
        <v>4353</v>
      </c>
      <c r="AN3" s="223">
        <v>10</v>
      </c>
      <c r="AO3" s="223">
        <v>1</v>
      </c>
      <c r="AP3" s="224">
        <v>0.1</v>
      </c>
      <c r="AQ3" s="224">
        <v>0.01</v>
      </c>
      <c r="AR3" s="224">
        <v>1.0000000000000001E-5</v>
      </c>
      <c r="AS3" s="224">
        <v>1.0000000000000001E-5</v>
      </c>
      <c r="AT3" s="224">
        <v>1E-8</v>
      </c>
      <c r="AU3" s="225">
        <v>9.9999999999999994E-12</v>
      </c>
      <c r="AW3" s="1" t="s">
        <v>3687</v>
      </c>
      <c r="AX3" s="1" t="s">
        <v>3779</v>
      </c>
      <c r="AY3" s="361"/>
    </row>
    <row r="4" spans="1:51" ht="15.75" thickBot="1">
      <c r="A4" s="436" t="s">
        <v>3691</v>
      </c>
      <c r="B4" s="207" t="s">
        <v>3687</v>
      </c>
      <c r="C4" s="209">
        <v>27</v>
      </c>
      <c r="D4" s="168">
        <v>0.85</v>
      </c>
      <c r="E4" s="354"/>
      <c r="F4" s="251" t="s">
        <v>3778</v>
      </c>
      <c r="G4" s="249" t="s">
        <v>3692</v>
      </c>
      <c r="J4" s="1" t="s">
        <v>3692</v>
      </c>
      <c r="K4" s="32" t="s">
        <v>3663</v>
      </c>
      <c r="L4" s="33">
        <v>1000000</v>
      </c>
      <c r="M4" s="34">
        <v>1000</v>
      </c>
      <c r="N4" s="34">
        <v>1</v>
      </c>
      <c r="O4" s="34">
        <v>1E-3</v>
      </c>
      <c r="P4" s="34">
        <v>1000000000</v>
      </c>
      <c r="Q4" s="34">
        <v>1000000</v>
      </c>
      <c r="R4" s="34">
        <v>1000</v>
      </c>
      <c r="S4" s="35">
        <v>1</v>
      </c>
      <c r="U4" s="32" t="s">
        <v>3671</v>
      </c>
      <c r="V4" s="41">
        <v>9.9999999999999995E-7</v>
      </c>
      <c r="W4" s="40">
        <v>1E-3</v>
      </c>
      <c r="X4" s="40">
        <v>1</v>
      </c>
      <c r="Y4" s="40">
        <v>1000</v>
      </c>
      <c r="Z4" s="40">
        <v>1.0000000000000001E-9</v>
      </c>
      <c r="AA4" s="40">
        <v>9.9999999999999995E-7</v>
      </c>
      <c r="AB4" s="40">
        <v>1</v>
      </c>
      <c r="AC4" s="40">
        <v>1000</v>
      </c>
      <c r="AD4" s="40">
        <v>1.0000000000000001E-18</v>
      </c>
      <c r="AE4" s="40">
        <v>1.0000000000000001E-15</v>
      </c>
      <c r="AF4" s="40">
        <v>9.9999999999999998E-13</v>
      </c>
      <c r="AG4" s="40">
        <v>1.0000000000000001E-9</v>
      </c>
      <c r="AH4" s="46">
        <v>2.7799999999999998E-19</v>
      </c>
      <c r="AI4" s="46">
        <v>2.7799999999999998E-13</v>
      </c>
      <c r="AJ4" s="46">
        <v>2.7800000000000002E-10</v>
      </c>
      <c r="AK4" s="50">
        <v>2.7799999999999997E-7</v>
      </c>
      <c r="AM4" s="219" t="s">
        <v>4347</v>
      </c>
      <c r="AN4" s="223">
        <v>100</v>
      </c>
      <c r="AO4" s="223">
        <v>10</v>
      </c>
      <c r="AP4" s="224">
        <v>1</v>
      </c>
      <c r="AQ4" s="224">
        <v>0.1</v>
      </c>
      <c r="AR4" s="224">
        <v>1E-4</v>
      </c>
      <c r="AS4" s="224">
        <v>1E-4</v>
      </c>
      <c r="AT4" s="224">
        <v>9.9999999999999995E-8</v>
      </c>
      <c r="AU4" s="225">
        <v>1E-10</v>
      </c>
      <c r="AW4" s="1" t="s">
        <v>4368</v>
      </c>
      <c r="AX4" s="1"/>
      <c r="AY4" s="361"/>
    </row>
    <row r="5" spans="1:51" ht="15.75" thickBot="1">
      <c r="A5" s="436" t="s">
        <v>3693</v>
      </c>
      <c r="B5" s="207" t="s">
        <v>3687</v>
      </c>
      <c r="C5" s="209">
        <v>27</v>
      </c>
      <c r="D5" s="244">
        <v>0.75</v>
      </c>
      <c r="E5" s="355"/>
      <c r="F5" s="251" t="s">
        <v>3778</v>
      </c>
      <c r="G5" s="249" t="s">
        <v>3694</v>
      </c>
      <c r="J5" s="1" t="s">
        <v>3694</v>
      </c>
      <c r="K5" s="32" t="s">
        <v>3664</v>
      </c>
      <c r="L5" s="33">
        <v>1000000000</v>
      </c>
      <c r="M5" s="34">
        <v>1000000</v>
      </c>
      <c r="N5" s="34">
        <v>1000</v>
      </c>
      <c r="O5" s="34">
        <v>1</v>
      </c>
      <c r="P5" s="34">
        <v>1000000000000</v>
      </c>
      <c r="Q5" s="34">
        <v>1000000000</v>
      </c>
      <c r="R5" s="34">
        <v>1000000</v>
      </c>
      <c r="S5" s="35">
        <v>1000</v>
      </c>
      <c r="U5" s="32" t="s">
        <v>3672</v>
      </c>
      <c r="V5" s="41">
        <v>1.0000000000000001E-9</v>
      </c>
      <c r="W5" s="40">
        <v>9.9999999999999995E-7</v>
      </c>
      <c r="X5" s="40">
        <v>1E-3</v>
      </c>
      <c r="Y5" s="40">
        <v>1</v>
      </c>
      <c r="Z5" s="40">
        <v>9.9999999999999998E-13</v>
      </c>
      <c r="AA5" s="40">
        <v>9.9999999999999995E-7</v>
      </c>
      <c r="AB5" s="40">
        <v>1E-3</v>
      </c>
      <c r="AC5" s="40">
        <v>1</v>
      </c>
      <c r="AD5" s="40">
        <v>9.9999999999999991E-22</v>
      </c>
      <c r="AE5" s="40">
        <v>1.0000000000000001E-18</v>
      </c>
      <c r="AF5" s="40">
        <v>1.0000000000000001E-15</v>
      </c>
      <c r="AG5" s="40">
        <v>9.9999999999999998E-13</v>
      </c>
      <c r="AH5" s="46">
        <v>2.7800000000000001E-22</v>
      </c>
      <c r="AI5" s="46">
        <v>2.7799999999999998E-16</v>
      </c>
      <c r="AJ5" s="46">
        <v>2.7799999999999998E-13</v>
      </c>
      <c r="AK5" s="50">
        <v>2.7800000000000002E-10</v>
      </c>
      <c r="AM5" s="219" t="s">
        <v>4348</v>
      </c>
      <c r="AN5" s="223">
        <v>1000</v>
      </c>
      <c r="AO5" s="223">
        <v>100</v>
      </c>
      <c r="AP5" s="224">
        <v>10</v>
      </c>
      <c r="AQ5" s="224">
        <v>1</v>
      </c>
      <c r="AR5" s="224">
        <v>1E-3</v>
      </c>
      <c r="AS5" s="224">
        <v>1E-3</v>
      </c>
      <c r="AT5" s="224">
        <v>9.9999999999999995E-7</v>
      </c>
      <c r="AU5" s="225">
        <v>1.0000000000000001E-9</v>
      </c>
      <c r="AW5" s="1"/>
      <c r="AX5" s="52"/>
      <c r="AY5" s="362" t="s">
        <v>4374</v>
      </c>
    </row>
    <row r="6" spans="1:51" ht="15.75" thickBot="1">
      <c r="A6" s="436" t="s">
        <v>3695</v>
      </c>
      <c r="B6" s="207" t="s">
        <v>3687</v>
      </c>
      <c r="C6" s="209">
        <v>40.200000000000003</v>
      </c>
      <c r="D6" s="244">
        <v>1.0349999999999999</v>
      </c>
      <c r="E6" s="354"/>
      <c r="F6" s="251" t="s">
        <v>3779</v>
      </c>
      <c r="J6" s="1" t="s">
        <v>3684</v>
      </c>
      <c r="K6" s="32" t="s">
        <v>3665</v>
      </c>
      <c r="L6" s="33">
        <v>1E-3</v>
      </c>
      <c r="M6" s="34">
        <v>9.9999999999999995E-7</v>
      </c>
      <c r="N6" s="34">
        <v>1.0000000000000001E-9</v>
      </c>
      <c r="O6" s="34">
        <v>9.9999999999999998E-13</v>
      </c>
      <c r="P6" s="34">
        <v>1</v>
      </c>
      <c r="Q6" s="34">
        <v>1E-3</v>
      </c>
      <c r="R6" s="34">
        <v>9.9999999999999995E-7</v>
      </c>
      <c r="S6" s="35">
        <v>1.0000000000000001E-9</v>
      </c>
      <c r="U6" s="32" t="s">
        <v>3746</v>
      </c>
      <c r="V6" s="41">
        <v>1000</v>
      </c>
      <c r="W6" s="40">
        <v>1000000</v>
      </c>
      <c r="X6" s="40">
        <v>1000000000</v>
      </c>
      <c r="Y6" s="40">
        <v>1000000000000</v>
      </c>
      <c r="Z6" s="40">
        <v>1</v>
      </c>
      <c r="AA6" s="40">
        <v>1000</v>
      </c>
      <c r="AB6" s="40">
        <v>1000000</v>
      </c>
      <c r="AC6" s="40">
        <v>1000000000</v>
      </c>
      <c r="AD6" s="40">
        <v>1.0000000000000001E-9</v>
      </c>
      <c r="AE6" s="40">
        <v>9.9999999999999995E-7</v>
      </c>
      <c r="AF6" s="40">
        <v>1E-3</v>
      </c>
      <c r="AG6" s="40">
        <v>1</v>
      </c>
      <c r="AH6" s="46">
        <v>2.7800000000000002E-10</v>
      </c>
      <c r="AI6" s="46">
        <v>2.7799999999999997E-7</v>
      </c>
      <c r="AJ6" s="46">
        <v>2.7799999999999998E-4</v>
      </c>
      <c r="AK6" s="50">
        <v>0.27800000000000002</v>
      </c>
      <c r="AM6" s="219" t="s">
        <v>4349</v>
      </c>
      <c r="AN6" s="223">
        <v>1000000</v>
      </c>
      <c r="AO6" s="223">
        <v>100000</v>
      </c>
      <c r="AP6" s="224">
        <v>10000</v>
      </c>
      <c r="AQ6" s="224">
        <v>1000</v>
      </c>
      <c r="AR6" s="224">
        <v>1</v>
      </c>
      <c r="AS6" s="224">
        <v>1</v>
      </c>
      <c r="AT6" s="224">
        <v>1E-3</v>
      </c>
      <c r="AU6" s="225">
        <v>9.9999999999999995E-7</v>
      </c>
      <c r="AY6" s="362" t="s">
        <v>4375</v>
      </c>
    </row>
    <row r="7" spans="1:51" ht="15.75" thickBot="1">
      <c r="A7" s="436" t="s">
        <v>3696</v>
      </c>
      <c r="B7" s="207" t="s">
        <v>4368</v>
      </c>
      <c r="C7" s="209">
        <v>2.4700000000000002</v>
      </c>
      <c r="D7" s="356"/>
      <c r="E7" s="246">
        <v>1.25</v>
      </c>
      <c r="F7" s="251" t="s">
        <v>3779</v>
      </c>
      <c r="J7" s="1" t="s">
        <v>3689</v>
      </c>
      <c r="K7" s="32" t="s">
        <v>3666</v>
      </c>
      <c r="L7" s="33">
        <v>1</v>
      </c>
      <c r="M7" s="34">
        <v>1E-3</v>
      </c>
      <c r="N7" s="34">
        <v>9.9999999999999995E-7</v>
      </c>
      <c r="O7" s="34">
        <v>1.0000000000000001E-9</v>
      </c>
      <c r="P7" s="34">
        <v>1000</v>
      </c>
      <c r="Q7" s="34">
        <v>1</v>
      </c>
      <c r="R7" s="34">
        <v>1E-3</v>
      </c>
      <c r="S7" s="35">
        <v>9.9999999999999995E-7</v>
      </c>
      <c r="U7" s="32" t="s">
        <v>3747</v>
      </c>
      <c r="V7" s="41">
        <v>1</v>
      </c>
      <c r="W7" s="40">
        <v>1000</v>
      </c>
      <c r="X7" s="40">
        <v>1000000</v>
      </c>
      <c r="Y7" s="40">
        <v>1000000000</v>
      </c>
      <c r="Z7" s="40">
        <v>1E-3</v>
      </c>
      <c r="AA7" s="40">
        <v>1</v>
      </c>
      <c r="AB7" s="40">
        <v>1000</v>
      </c>
      <c r="AC7" s="40">
        <v>1000000</v>
      </c>
      <c r="AD7" s="40">
        <v>9.9999999999999998E-13</v>
      </c>
      <c r="AE7" s="40">
        <v>1.0000000000000001E-9</v>
      </c>
      <c r="AF7" s="40">
        <v>9.9999999999999995E-7</v>
      </c>
      <c r="AG7" s="40">
        <v>1E-3</v>
      </c>
      <c r="AH7" s="46">
        <v>2.7799999999999998E-13</v>
      </c>
      <c r="AI7" s="46">
        <v>2.7800000000000002E-10</v>
      </c>
      <c r="AJ7" s="46">
        <v>2.7799999999999997E-7</v>
      </c>
      <c r="AK7" s="50">
        <v>2.7799999999999998E-4</v>
      </c>
      <c r="AM7" s="219" t="s">
        <v>4350</v>
      </c>
      <c r="AN7" s="223">
        <v>1000000</v>
      </c>
      <c r="AO7" s="223">
        <v>100000</v>
      </c>
      <c r="AP7" s="224">
        <v>10000</v>
      </c>
      <c r="AQ7" s="224">
        <v>1000</v>
      </c>
      <c r="AR7" s="224">
        <v>1</v>
      </c>
      <c r="AS7" s="224">
        <v>1</v>
      </c>
      <c r="AT7" s="224">
        <v>1E-3</v>
      </c>
      <c r="AU7" s="225">
        <v>9.9999999999999995E-7</v>
      </c>
      <c r="AY7" s="362" t="s">
        <v>4376</v>
      </c>
    </row>
    <row r="8" spans="1:51" ht="15.75" thickBot="1">
      <c r="A8" s="436" t="s">
        <v>3697</v>
      </c>
      <c r="B8" s="207" t="s">
        <v>3682</v>
      </c>
      <c r="C8" s="209">
        <v>20.7</v>
      </c>
      <c r="D8" s="356"/>
      <c r="E8" s="354"/>
      <c r="F8" s="251" t="s">
        <v>3779</v>
      </c>
      <c r="K8" s="32" t="s">
        <v>3667</v>
      </c>
      <c r="L8" s="33">
        <v>1000</v>
      </c>
      <c r="M8" s="34">
        <v>1</v>
      </c>
      <c r="N8" s="34">
        <v>1E-3</v>
      </c>
      <c r="O8" s="34">
        <v>1E-3</v>
      </c>
      <c r="P8" s="34">
        <v>1000000</v>
      </c>
      <c r="Q8" s="34">
        <v>1000</v>
      </c>
      <c r="R8" s="34">
        <v>1</v>
      </c>
      <c r="S8" s="35">
        <v>1E-3</v>
      </c>
      <c r="U8" s="32" t="s">
        <v>3748</v>
      </c>
      <c r="V8" s="41">
        <v>1E-3</v>
      </c>
      <c r="W8" s="40">
        <v>1</v>
      </c>
      <c r="X8" s="40">
        <v>1000</v>
      </c>
      <c r="Y8" s="40">
        <v>1000000</v>
      </c>
      <c r="Z8" s="40">
        <v>9.9999999999999995E-7</v>
      </c>
      <c r="AA8" s="40">
        <v>1E-3</v>
      </c>
      <c r="AB8" s="40">
        <v>1</v>
      </c>
      <c r="AC8" s="40">
        <v>1000</v>
      </c>
      <c r="AD8" s="40">
        <v>1.0000000000000001E-15</v>
      </c>
      <c r="AE8" s="40">
        <v>9.9999999999999998E-13</v>
      </c>
      <c r="AF8" s="40">
        <v>1.0000000000000001E-9</v>
      </c>
      <c r="AG8" s="40">
        <v>9.9999999999999995E-7</v>
      </c>
      <c r="AH8" s="46">
        <v>2.7799999999999998E-16</v>
      </c>
      <c r="AI8" s="46">
        <v>2.7800000000000002E-10</v>
      </c>
      <c r="AJ8" s="46">
        <v>2.7799999999999997E-7</v>
      </c>
      <c r="AK8" s="50">
        <v>2.7799999999999998E-4</v>
      </c>
      <c r="AM8" s="219" t="s">
        <v>4351</v>
      </c>
      <c r="AN8" s="223">
        <v>1000000000</v>
      </c>
      <c r="AO8" s="223">
        <v>100000000</v>
      </c>
      <c r="AP8" s="224">
        <v>10000000</v>
      </c>
      <c r="AQ8" s="224">
        <v>1000000</v>
      </c>
      <c r="AR8" s="224">
        <v>1000</v>
      </c>
      <c r="AS8" s="224">
        <v>1000</v>
      </c>
      <c r="AT8" s="224">
        <v>1</v>
      </c>
      <c r="AU8" s="225">
        <v>1E-3</v>
      </c>
      <c r="AY8" s="363"/>
    </row>
    <row r="9" spans="1:51" ht="15.75" thickBot="1">
      <c r="A9" s="436" t="s">
        <v>4367</v>
      </c>
      <c r="B9" s="207" t="s">
        <v>4368</v>
      </c>
      <c r="C9" s="244">
        <v>45.57</v>
      </c>
      <c r="D9" s="356"/>
      <c r="E9" s="211">
        <v>2.5</v>
      </c>
      <c r="F9" s="251" t="s">
        <v>3779</v>
      </c>
      <c r="K9" s="32" t="s">
        <v>3668</v>
      </c>
      <c r="L9" s="36">
        <v>1000000</v>
      </c>
      <c r="M9" s="37">
        <v>1000</v>
      </c>
      <c r="N9" s="37">
        <v>1</v>
      </c>
      <c r="O9" s="37">
        <v>1E-3</v>
      </c>
      <c r="P9" s="37">
        <v>1000000000</v>
      </c>
      <c r="Q9" s="37">
        <v>1000000</v>
      </c>
      <c r="R9" s="37">
        <v>1000</v>
      </c>
      <c r="S9" s="38">
        <v>1</v>
      </c>
      <c r="U9" s="32" t="s">
        <v>3749</v>
      </c>
      <c r="V9" s="41">
        <v>9.9999999999999995E-7</v>
      </c>
      <c r="W9" s="40">
        <v>1E-3</v>
      </c>
      <c r="X9" s="40">
        <v>1</v>
      </c>
      <c r="Y9" s="40">
        <v>1000</v>
      </c>
      <c r="Z9" s="40">
        <v>1.0000000000000001E-9</v>
      </c>
      <c r="AA9" s="40">
        <v>9.9999999999999995E-7</v>
      </c>
      <c r="AB9" s="40">
        <v>1</v>
      </c>
      <c r="AC9" s="40">
        <v>1000</v>
      </c>
      <c r="AD9" s="40">
        <v>1.0000000000000001E-18</v>
      </c>
      <c r="AE9" s="40">
        <v>1.0000000000000001E-15</v>
      </c>
      <c r="AF9" s="40">
        <v>9.9999999999999998E-13</v>
      </c>
      <c r="AG9" s="40">
        <v>1.0000000000000001E-9</v>
      </c>
      <c r="AH9" s="46">
        <v>2.7799999999999998E-19</v>
      </c>
      <c r="AI9" s="46">
        <v>2.7799999999999998E-13</v>
      </c>
      <c r="AJ9" s="46">
        <v>2.7800000000000002E-10</v>
      </c>
      <c r="AK9" s="50">
        <v>2.7799999999999997E-7</v>
      </c>
      <c r="AM9" s="219" t="s">
        <v>4352</v>
      </c>
      <c r="AN9" s="226">
        <v>1000000000000</v>
      </c>
      <c r="AO9" s="226">
        <v>100000000000</v>
      </c>
      <c r="AP9" s="227">
        <v>10000000000</v>
      </c>
      <c r="AQ9" s="227">
        <v>1000000000</v>
      </c>
      <c r="AR9" s="227">
        <v>1000000</v>
      </c>
      <c r="AS9" s="227">
        <v>1000000</v>
      </c>
      <c r="AT9" s="227">
        <v>1000</v>
      </c>
      <c r="AU9" s="228">
        <v>1</v>
      </c>
      <c r="AY9" s="362" t="s">
        <v>4377</v>
      </c>
    </row>
    <row r="10" spans="1:51" ht="15.75" thickBot="1">
      <c r="A10" s="436" t="s">
        <v>3698</v>
      </c>
      <c r="B10" s="207" t="s">
        <v>4368</v>
      </c>
      <c r="C10" s="209">
        <v>28.2</v>
      </c>
      <c r="D10" s="356"/>
      <c r="E10" s="354"/>
      <c r="F10" s="251" t="s">
        <v>3779</v>
      </c>
      <c r="U10" s="32" t="s">
        <v>3675</v>
      </c>
      <c r="V10" s="41">
        <v>1000000</v>
      </c>
      <c r="W10" s="40">
        <v>1000000000</v>
      </c>
      <c r="X10" s="40">
        <v>1000000000000</v>
      </c>
      <c r="Y10" s="40">
        <v>1000000000000000</v>
      </c>
      <c r="Z10" s="40">
        <v>1000</v>
      </c>
      <c r="AA10" s="40">
        <v>1000000</v>
      </c>
      <c r="AB10" s="40">
        <v>1000000000</v>
      </c>
      <c r="AC10" s="40">
        <v>1000000000000</v>
      </c>
      <c r="AD10" s="40">
        <v>9.9999999999999995E-7</v>
      </c>
      <c r="AE10" s="40">
        <v>1E-3</v>
      </c>
      <c r="AF10" s="40">
        <v>1</v>
      </c>
      <c r="AG10" s="40">
        <v>1000</v>
      </c>
      <c r="AH10" s="46">
        <v>2.7780000000000001E-7</v>
      </c>
      <c r="AI10" s="46">
        <v>2.777778E-4</v>
      </c>
      <c r="AJ10" s="46">
        <v>0.27777777780000001</v>
      </c>
      <c r="AK10" s="50">
        <v>277.77777780000002</v>
      </c>
      <c r="AY10" s="363"/>
    </row>
    <row r="11" spans="1:51" ht="15.75" thickBot="1">
      <c r="A11" s="436" t="s">
        <v>3699</v>
      </c>
      <c r="B11" s="207" t="s">
        <v>4368</v>
      </c>
      <c r="C11" s="209">
        <v>38.700000000000003</v>
      </c>
      <c r="D11" s="356"/>
      <c r="E11" s="246">
        <v>0.47499999999999998</v>
      </c>
      <c r="F11" s="251" t="s">
        <v>3779</v>
      </c>
      <c r="U11" s="32" t="s">
        <v>3676</v>
      </c>
      <c r="V11" s="41">
        <v>1000</v>
      </c>
      <c r="W11" s="40">
        <v>1000000</v>
      </c>
      <c r="X11" s="40">
        <v>1000000000</v>
      </c>
      <c r="Y11" s="40">
        <v>1000000000000</v>
      </c>
      <c r="Z11" s="40">
        <v>1</v>
      </c>
      <c r="AA11" s="40">
        <v>1000</v>
      </c>
      <c r="AB11" s="40">
        <v>1000000</v>
      </c>
      <c r="AC11" s="40">
        <v>1000000000</v>
      </c>
      <c r="AD11" s="40">
        <v>1.0000000000000001E-9</v>
      </c>
      <c r="AE11" s="40">
        <v>9.9999999999999995E-7</v>
      </c>
      <c r="AF11" s="40">
        <v>1E-3</v>
      </c>
      <c r="AG11" s="40">
        <v>1</v>
      </c>
      <c r="AH11" s="46">
        <v>2.7800000000000002E-10</v>
      </c>
      <c r="AI11" s="46">
        <v>2.7780000000000001E-7</v>
      </c>
      <c r="AJ11" s="46">
        <v>2.777778E-4</v>
      </c>
      <c r="AK11" s="50">
        <v>0.27777777780000001</v>
      </c>
      <c r="AY11" s="362" t="s">
        <v>4378</v>
      </c>
    </row>
    <row r="12" spans="1:51" ht="15.75" thickBot="1">
      <c r="A12" s="436" t="s">
        <v>3700</v>
      </c>
      <c r="B12" s="207" t="s">
        <v>3682</v>
      </c>
      <c r="C12" s="209">
        <v>28.2</v>
      </c>
      <c r="D12" s="356"/>
      <c r="E12" s="354"/>
      <c r="F12" s="251" t="s">
        <v>3779</v>
      </c>
      <c r="U12" s="26" t="s">
        <v>3677</v>
      </c>
      <c r="V12" s="47">
        <v>3600000000000</v>
      </c>
      <c r="W12" s="46">
        <v>3600000000000000</v>
      </c>
      <c r="X12" s="46">
        <v>3.6E+18</v>
      </c>
      <c r="Y12" s="46">
        <v>3.6E+21</v>
      </c>
      <c r="Z12" s="46">
        <v>3600000000</v>
      </c>
      <c r="AA12" s="46">
        <v>3600000000000</v>
      </c>
      <c r="AB12" s="46">
        <v>3600000000000000</v>
      </c>
      <c r="AC12" s="46">
        <v>3.6E+18</v>
      </c>
      <c r="AD12" s="46">
        <v>3.6</v>
      </c>
      <c r="AE12" s="46">
        <v>3600</v>
      </c>
      <c r="AF12" s="46">
        <v>3600000</v>
      </c>
      <c r="AG12" s="46">
        <v>3600000000</v>
      </c>
      <c r="AH12" s="46">
        <v>1</v>
      </c>
      <c r="AI12" s="46">
        <v>1000</v>
      </c>
      <c r="AJ12" s="46">
        <v>1000000</v>
      </c>
      <c r="AK12" s="50">
        <v>1000000000</v>
      </c>
      <c r="AY12" s="361"/>
    </row>
    <row r="13" spans="1:51" ht="15.75" thickBot="1">
      <c r="A13" s="436" t="s">
        <v>4371</v>
      </c>
      <c r="B13" s="207" t="s">
        <v>3687</v>
      </c>
      <c r="C13" s="209">
        <v>42.3</v>
      </c>
      <c r="D13" s="168">
        <v>0.8</v>
      </c>
      <c r="E13" s="354"/>
      <c r="F13" s="251" t="s">
        <v>3779</v>
      </c>
      <c r="U13" s="26" t="s">
        <v>3678</v>
      </c>
      <c r="V13" s="47">
        <v>3600000000</v>
      </c>
      <c r="W13" s="46">
        <v>3600000000000</v>
      </c>
      <c r="X13" s="46">
        <v>3600000000000000</v>
      </c>
      <c r="Y13" s="46">
        <v>3.6E+18</v>
      </c>
      <c r="Z13" s="46">
        <v>3600000</v>
      </c>
      <c r="AA13" s="46">
        <v>3600000000</v>
      </c>
      <c r="AB13" s="46">
        <v>3600000000000</v>
      </c>
      <c r="AC13" s="46">
        <v>3600000000000000</v>
      </c>
      <c r="AD13" s="46">
        <v>3.5999999999999999E-3</v>
      </c>
      <c r="AE13" s="46">
        <v>3.6</v>
      </c>
      <c r="AF13" s="46">
        <v>3600</v>
      </c>
      <c r="AG13" s="46">
        <v>3600000</v>
      </c>
      <c r="AH13" s="46">
        <v>1E-3</v>
      </c>
      <c r="AI13" s="46">
        <v>1</v>
      </c>
      <c r="AJ13" s="46">
        <v>1000</v>
      </c>
      <c r="AK13" s="50">
        <v>1000000</v>
      </c>
      <c r="AY13" s="361"/>
    </row>
    <row r="14" spans="1:51">
      <c r="A14" s="436" t="s">
        <v>3701</v>
      </c>
      <c r="B14" s="207" t="s">
        <v>4368</v>
      </c>
      <c r="C14" s="209">
        <v>46.4</v>
      </c>
      <c r="D14" s="210"/>
      <c r="E14" s="211">
        <v>1.3</v>
      </c>
      <c r="F14" s="251" t="s">
        <v>3779</v>
      </c>
      <c r="AY14" s="361"/>
    </row>
    <row r="15" spans="1:51">
      <c r="A15" s="436" t="s">
        <v>3702</v>
      </c>
      <c r="B15" s="207" t="s">
        <v>4368</v>
      </c>
      <c r="C15" s="209">
        <v>28.2</v>
      </c>
      <c r="D15" s="210"/>
      <c r="E15" s="246">
        <v>0.54</v>
      </c>
      <c r="F15" s="251" t="s">
        <v>3779</v>
      </c>
      <c r="AY15" s="362" t="s">
        <v>4379</v>
      </c>
    </row>
    <row r="16" spans="1:51" ht="15">
      <c r="A16" s="436" t="s">
        <v>3703</v>
      </c>
      <c r="B16" s="207" t="s">
        <v>3687</v>
      </c>
      <c r="C16" s="209">
        <v>43</v>
      </c>
      <c r="D16" s="212">
        <v>0.84</v>
      </c>
      <c r="E16" s="357"/>
      <c r="F16" s="251" t="s">
        <v>3779</v>
      </c>
      <c r="AY16" s="363"/>
    </row>
    <row r="17" spans="1:51">
      <c r="A17" s="436" t="s">
        <v>3704</v>
      </c>
      <c r="B17" s="207" t="s">
        <v>3687</v>
      </c>
      <c r="C17" s="209">
        <v>44.3</v>
      </c>
      <c r="D17" s="244">
        <v>0.81</v>
      </c>
      <c r="E17" s="354"/>
      <c r="F17" s="251" t="s">
        <v>3779</v>
      </c>
      <c r="AY17" s="362" t="s">
        <v>4380</v>
      </c>
    </row>
    <row r="18" spans="1:51">
      <c r="A18" s="436" t="s">
        <v>3705</v>
      </c>
      <c r="B18" s="207" t="s">
        <v>3687</v>
      </c>
      <c r="C18" s="209">
        <v>44.1</v>
      </c>
      <c r="D18" s="168">
        <v>0.79</v>
      </c>
      <c r="E18" s="354"/>
      <c r="F18" s="251" t="s">
        <v>3779</v>
      </c>
      <c r="AY18" s="361"/>
    </row>
    <row r="19" spans="1:51">
      <c r="A19" s="436" t="s">
        <v>4370</v>
      </c>
      <c r="B19" s="207" t="s">
        <v>3687</v>
      </c>
      <c r="C19" s="209">
        <v>43.8</v>
      </c>
      <c r="D19" s="168">
        <v>0.8</v>
      </c>
      <c r="E19" s="354"/>
      <c r="F19" s="251" t="s">
        <v>3779</v>
      </c>
      <c r="AY19" s="361"/>
    </row>
    <row r="20" spans="1:51">
      <c r="A20" s="436" t="s">
        <v>3706</v>
      </c>
      <c r="B20" s="207" t="s">
        <v>4368</v>
      </c>
      <c r="C20" s="209">
        <v>50.4</v>
      </c>
      <c r="D20" s="356"/>
      <c r="E20" s="211">
        <v>0.9</v>
      </c>
      <c r="F20" s="251" t="s">
        <v>3778</v>
      </c>
      <c r="AY20" s="361"/>
    </row>
    <row r="21" spans="1:51">
      <c r="A21" s="436" t="s">
        <v>3707</v>
      </c>
      <c r="B21" s="207" t="s">
        <v>3682</v>
      </c>
      <c r="C21" s="209">
        <v>11.9</v>
      </c>
      <c r="D21" s="356"/>
      <c r="E21" s="354"/>
      <c r="F21" s="251" t="s">
        <v>3779</v>
      </c>
      <c r="AY21" s="361"/>
    </row>
    <row r="22" spans="1:51">
      <c r="A22" s="436" t="s">
        <v>3708</v>
      </c>
      <c r="B22" s="207" t="s">
        <v>3687</v>
      </c>
      <c r="C22" s="209">
        <v>47.3</v>
      </c>
      <c r="D22" s="168">
        <v>0.54</v>
      </c>
      <c r="E22" s="354"/>
      <c r="F22" s="251" t="s">
        <v>3779</v>
      </c>
      <c r="AY22" s="361"/>
    </row>
    <row r="23" spans="1:51">
      <c r="A23" s="436" t="s">
        <v>3709</v>
      </c>
      <c r="B23" s="207" t="s">
        <v>3687</v>
      </c>
      <c r="C23" s="209">
        <v>40.200000000000003</v>
      </c>
      <c r="D23" s="168">
        <v>1</v>
      </c>
      <c r="E23" s="354"/>
      <c r="F23" s="251" t="s">
        <v>3779</v>
      </c>
      <c r="AY23" s="361"/>
    </row>
    <row r="24" spans="1:51">
      <c r="A24" s="436" t="s">
        <v>3710</v>
      </c>
      <c r="B24" s="207" t="s">
        <v>4368</v>
      </c>
      <c r="C24" s="244">
        <v>50</v>
      </c>
      <c r="D24" s="356"/>
      <c r="E24" s="211">
        <v>0.67</v>
      </c>
      <c r="F24" s="251" t="s">
        <v>3779</v>
      </c>
      <c r="AY24" s="362" t="s">
        <v>4381</v>
      </c>
    </row>
    <row r="25" spans="1:51">
      <c r="A25" s="436" t="s">
        <v>3711</v>
      </c>
      <c r="B25" s="207" t="s">
        <v>3687</v>
      </c>
      <c r="C25" s="209">
        <v>44.3</v>
      </c>
      <c r="D25" s="168">
        <v>0.74</v>
      </c>
      <c r="E25" s="354"/>
      <c r="F25" s="251" t="s">
        <v>3779</v>
      </c>
      <c r="AY25" s="361"/>
    </row>
    <row r="26" spans="1:51">
      <c r="A26" s="436" t="s">
        <v>3712</v>
      </c>
      <c r="B26" s="207" t="s">
        <v>3682</v>
      </c>
      <c r="C26" s="209">
        <v>11.6</v>
      </c>
      <c r="D26" s="356"/>
      <c r="E26" s="354"/>
      <c r="F26" s="251" t="s">
        <v>3778</v>
      </c>
      <c r="AY26" s="361"/>
    </row>
    <row r="27" spans="1:51">
      <c r="A27" s="437" t="s">
        <v>3713</v>
      </c>
      <c r="B27" s="207" t="s">
        <v>3682</v>
      </c>
      <c r="C27" s="209">
        <v>10</v>
      </c>
      <c r="D27" s="356"/>
      <c r="E27" s="354"/>
      <c r="F27" s="251" t="s">
        <v>3779</v>
      </c>
      <c r="AY27" s="361"/>
    </row>
    <row r="28" spans="1:51">
      <c r="A28" s="436" t="s">
        <v>3714</v>
      </c>
      <c r="B28" s="207" t="s">
        <v>3687</v>
      </c>
      <c r="C28" s="209">
        <v>44.5</v>
      </c>
      <c r="D28" s="168">
        <v>0.77</v>
      </c>
      <c r="E28" s="354"/>
      <c r="F28" s="251" t="s">
        <v>3779</v>
      </c>
      <c r="AY28" s="361"/>
    </row>
    <row r="29" spans="1:51">
      <c r="A29" s="436" t="s">
        <v>3715</v>
      </c>
      <c r="B29" s="207" t="s">
        <v>4368</v>
      </c>
      <c r="C29" s="209">
        <v>48</v>
      </c>
      <c r="D29" s="356"/>
      <c r="E29" s="211">
        <v>0.7</v>
      </c>
      <c r="F29" s="251" t="s">
        <v>3779</v>
      </c>
      <c r="AY29" s="361"/>
    </row>
    <row r="30" spans="1:51">
      <c r="A30" s="436" t="s">
        <v>4369</v>
      </c>
      <c r="B30" s="207" t="s">
        <v>3687</v>
      </c>
      <c r="C30" s="209">
        <v>44.2</v>
      </c>
      <c r="D30" s="168">
        <v>0.47</v>
      </c>
      <c r="E30" s="354"/>
      <c r="F30" s="251" t="s">
        <v>3779</v>
      </c>
      <c r="AY30" s="361"/>
    </row>
    <row r="31" spans="1:51">
      <c r="A31" s="436" t="s">
        <v>3716</v>
      </c>
      <c r="B31" s="207" t="s">
        <v>3687</v>
      </c>
      <c r="C31" s="209">
        <v>8.9</v>
      </c>
      <c r="D31" s="244">
        <v>0.95</v>
      </c>
      <c r="E31" s="354"/>
      <c r="F31" s="251" t="s">
        <v>3779</v>
      </c>
      <c r="AY31" s="362" t="s">
        <v>4382</v>
      </c>
    </row>
    <row r="32" spans="1:51">
      <c r="A32" s="436" t="s">
        <v>3717</v>
      </c>
      <c r="B32" s="207" t="s">
        <v>3687</v>
      </c>
      <c r="C32" s="209">
        <v>27.5</v>
      </c>
      <c r="D32" s="244">
        <v>1.1299999999999999</v>
      </c>
      <c r="E32" s="354"/>
      <c r="F32" s="251" t="s">
        <v>3779</v>
      </c>
      <c r="AY32" s="362" t="s">
        <v>4392</v>
      </c>
    </row>
    <row r="33" spans="1:51">
      <c r="A33" s="436" t="s">
        <v>3718</v>
      </c>
      <c r="B33" s="207" t="s">
        <v>4368</v>
      </c>
      <c r="C33" s="209">
        <v>7.06</v>
      </c>
      <c r="D33" s="356"/>
      <c r="E33" s="246">
        <v>1.33</v>
      </c>
      <c r="F33" s="251" t="s">
        <v>3779</v>
      </c>
      <c r="AY33" s="362" t="s">
        <v>4393</v>
      </c>
    </row>
    <row r="34" spans="1:51">
      <c r="A34" s="436" t="s">
        <v>3719</v>
      </c>
      <c r="B34" s="207" t="s">
        <v>3682</v>
      </c>
      <c r="C34" s="209">
        <v>40.200000000000003</v>
      </c>
      <c r="D34" s="356"/>
      <c r="E34" s="354"/>
      <c r="F34" s="251" t="s">
        <v>3779</v>
      </c>
      <c r="AY34" s="361"/>
    </row>
    <row r="35" spans="1:51">
      <c r="A35" s="436" t="s">
        <v>3720</v>
      </c>
      <c r="B35" s="207" t="s">
        <v>3682</v>
      </c>
      <c r="C35" s="209">
        <v>20.7</v>
      </c>
      <c r="D35" s="356"/>
      <c r="E35" s="354"/>
      <c r="F35" s="251" t="s">
        <v>3779</v>
      </c>
      <c r="AY35" s="361"/>
    </row>
    <row r="36" spans="1:51">
      <c r="A36" s="436" t="s">
        <v>3721</v>
      </c>
      <c r="B36" s="207" t="s">
        <v>3682</v>
      </c>
      <c r="C36" s="209">
        <v>9.76</v>
      </c>
      <c r="D36" s="356"/>
      <c r="E36" s="354"/>
      <c r="F36" s="251" t="s">
        <v>3779</v>
      </c>
      <c r="AY36" s="361"/>
    </row>
    <row r="37" spans="1:51">
      <c r="A37" s="436" t="s">
        <v>3722</v>
      </c>
      <c r="B37" s="207" t="s">
        <v>3682</v>
      </c>
      <c r="C37" s="209">
        <v>32.5</v>
      </c>
      <c r="D37" s="356"/>
      <c r="E37" s="354"/>
      <c r="F37" s="251" t="s">
        <v>3779</v>
      </c>
      <c r="AY37" s="361"/>
    </row>
    <row r="38" spans="1:51">
      <c r="A38" s="436" t="s">
        <v>3723</v>
      </c>
      <c r="B38" s="207" t="s">
        <v>4368</v>
      </c>
      <c r="C38" s="244">
        <v>46.32</v>
      </c>
      <c r="D38" s="356"/>
      <c r="E38" s="211">
        <v>1.9</v>
      </c>
      <c r="F38" s="251" t="s">
        <v>3779</v>
      </c>
      <c r="AY38" s="362" t="s">
        <v>4383</v>
      </c>
    </row>
    <row r="39" spans="1:51">
      <c r="A39" s="436" t="s">
        <v>3724</v>
      </c>
      <c r="B39" s="207" t="s">
        <v>3687</v>
      </c>
      <c r="C39" s="209">
        <v>43</v>
      </c>
      <c r="D39" s="244">
        <v>0.82499999999999996</v>
      </c>
      <c r="E39" s="354"/>
      <c r="F39" s="251" t="s">
        <v>3779</v>
      </c>
      <c r="AY39" s="362" t="s">
        <v>4384</v>
      </c>
    </row>
    <row r="40" spans="1:51">
      <c r="A40" s="436" t="s">
        <v>3725</v>
      </c>
      <c r="B40" s="207" t="s">
        <v>4368</v>
      </c>
      <c r="C40" s="209">
        <v>49.5</v>
      </c>
      <c r="D40" s="356"/>
      <c r="E40" s="246">
        <v>0.88</v>
      </c>
      <c r="F40" s="251" t="s">
        <v>3779</v>
      </c>
      <c r="AY40" s="362" t="s">
        <v>4385</v>
      </c>
    </row>
    <row r="41" spans="1:51">
      <c r="A41" s="436" t="s">
        <v>3726</v>
      </c>
      <c r="B41" s="207" t="s">
        <v>3687</v>
      </c>
      <c r="C41" s="209">
        <v>40.4</v>
      </c>
      <c r="D41" s="168">
        <v>0.94</v>
      </c>
      <c r="E41" s="354"/>
      <c r="F41" s="251" t="s">
        <v>3779</v>
      </c>
      <c r="AY41" s="361"/>
    </row>
    <row r="42" spans="1:51">
      <c r="A42" s="436" t="s">
        <v>3727</v>
      </c>
      <c r="B42" s="207" t="s">
        <v>3687</v>
      </c>
      <c r="C42" s="209">
        <v>38.1</v>
      </c>
      <c r="D42" s="168">
        <v>1</v>
      </c>
      <c r="E42" s="354"/>
      <c r="F42" s="251" t="s">
        <v>3779</v>
      </c>
      <c r="AY42" s="361"/>
    </row>
    <row r="43" spans="1:51">
      <c r="A43" s="436" t="s">
        <v>3728</v>
      </c>
      <c r="B43" s="207" t="s">
        <v>4368</v>
      </c>
      <c r="C43" s="209">
        <v>50.4</v>
      </c>
      <c r="D43" s="356"/>
      <c r="E43" s="211">
        <v>0.67</v>
      </c>
      <c r="F43" s="251" t="s">
        <v>3778</v>
      </c>
      <c r="AY43" s="361"/>
    </row>
    <row r="44" spans="1:51">
      <c r="A44" s="436" t="s">
        <v>3729</v>
      </c>
      <c r="B44" s="207" t="s">
        <v>3682</v>
      </c>
      <c r="C44" s="209">
        <v>18.899999999999999</v>
      </c>
      <c r="D44" s="356"/>
      <c r="E44" s="354"/>
      <c r="F44" s="251" t="s">
        <v>3779</v>
      </c>
      <c r="AY44" s="361"/>
    </row>
    <row r="45" spans="1:51">
      <c r="A45" s="436" t="s">
        <v>4394</v>
      </c>
      <c r="B45" s="207" t="s">
        <v>3687</v>
      </c>
      <c r="C45" s="209">
        <v>11.8</v>
      </c>
      <c r="D45" s="244">
        <v>1.2</v>
      </c>
      <c r="E45" s="354"/>
      <c r="F45" s="251" t="s">
        <v>3778</v>
      </c>
      <c r="AY45" s="362" t="s">
        <v>4386</v>
      </c>
    </row>
    <row r="46" spans="1:51">
      <c r="A46" s="436" t="s">
        <v>3730</v>
      </c>
      <c r="B46" s="207" t="s">
        <v>3687</v>
      </c>
      <c r="C46" s="244">
        <v>44.4</v>
      </c>
      <c r="D46" s="168">
        <v>0.87</v>
      </c>
      <c r="E46" s="354"/>
      <c r="F46" s="251" t="s">
        <v>3778</v>
      </c>
      <c r="AY46" s="362" t="s">
        <v>4387</v>
      </c>
    </row>
    <row r="47" spans="1:51">
      <c r="A47" s="436" t="s">
        <v>3731</v>
      </c>
      <c r="B47" s="207" t="s">
        <v>3687</v>
      </c>
      <c r="C47" s="244">
        <v>37.799999999999997</v>
      </c>
      <c r="D47" s="168">
        <v>0.9</v>
      </c>
      <c r="E47" s="354"/>
      <c r="F47" s="251" t="s">
        <v>3779</v>
      </c>
      <c r="AY47" s="362" t="s">
        <v>4388</v>
      </c>
    </row>
    <row r="48" spans="1:51">
      <c r="A48" s="436" t="s">
        <v>3732</v>
      </c>
      <c r="B48" s="207" t="s">
        <v>3687</v>
      </c>
      <c r="C48" s="209">
        <v>40.200000000000003</v>
      </c>
      <c r="D48" s="244">
        <v>0.8</v>
      </c>
      <c r="E48" s="354"/>
      <c r="F48" s="251" t="s">
        <v>3779</v>
      </c>
      <c r="AY48" s="362" t="s">
        <v>4389</v>
      </c>
    </row>
    <row r="49" spans="1:51">
      <c r="A49" s="436" t="s">
        <v>3733</v>
      </c>
      <c r="B49" s="207" t="s">
        <v>4368</v>
      </c>
      <c r="C49" s="244">
        <v>35</v>
      </c>
      <c r="D49" s="356"/>
      <c r="E49" s="211">
        <v>0.9</v>
      </c>
      <c r="F49" s="251" t="s">
        <v>3778</v>
      </c>
      <c r="AY49" s="362" t="s">
        <v>4390</v>
      </c>
    </row>
    <row r="50" spans="1:51">
      <c r="A50" s="436" t="s">
        <v>3734</v>
      </c>
      <c r="B50" s="207" t="s">
        <v>3687</v>
      </c>
      <c r="C50" s="209">
        <v>40.200000000000003</v>
      </c>
      <c r="D50" s="244">
        <v>0.75</v>
      </c>
      <c r="E50" s="354"/>
      <c r="F50" s="251" t="s">
        <v>3779</v>
      </c>
      <c r="AY50" s="362" t="s">
        <v>4391</v>
      </c>
    </row>
    <row r="51" spans="1:51">
      <c r="A51" s="438" t="s">
        <v>3735</v>
      </c>
      <c r="B51" s="207" t="s">
        <v>3682</v>
      </c>
      <c r="C51" s="213">
        <v>15.6</v>
      </c>
      <c r="D51" s="358"/>
      <c r="E51" s="359"/>
      <c r="F51" s="251" t="s">
        <v>3778</v>
      </c>
      <c r="AY51" s="361"/>
    </row>
    <row r="52" spans="1:51">
      <c r="A52" s="214" t="s">
        <v>3811</v>
      </c>
      <c r="B52" s="215"/>
      <c r="C52" s="215"/>
      <c r="D52" s="215"/>
      <c r="E52" s="247"/>
      <c r="F52" s="215"/>
      <c r="AY52" s="361"/>
    </row>
    <row r="53" spans="1:51">
      <c r="A53" s="214" t="s">
        <v>3812</v>
      </c>
      <c r="B53" s="215"/>
      <c r="C53" s="215"/>
      <c r="D53" s="215"/>
      <c r="E53" s="247"/>
      <c r="F53" s="215"/>
      <c r="AY53" s="361"/>
    </row>
    <row r="54" spans="1:51">
      <c r="A54" s="214" t="s">
        <v>3813</v>
      </c>
      <c r="B54" s="215"/>
      <c r="C54" s="215"/>
      <c r="D54" s="215"/>
      <c r="E54" s="247"/>
      <c r="F54" s="215"/>
      <c r="AY54" s="361"/>
    </row>
    <row r="55" spans="1:51">
      <c r="A55" s="214" t="s">
        <v>3814</v>
      </c>
      <c r="B55" s="215"/>
      <c r="C55" s="215"/>
      <c r="D55" s="215"/>
      <c r="E55" s="247"/>
      <c r="F55" s="215"/>
      <c r="AY55" s="361"/>
    </row>
    <row r="56" spans="1:51">
      <c r="A56" s="214" t="s">
        <v>3815</v>
      </c>
      <c r="B56" s="215"/>
      <c r="C56" s="215"/>
      <c r="D56" s="215"/>
      <c r="E56" s="247"/>
      <c r="F56" s="215"/>
      <c r="AY56" s="361"/>
    </row>
    <row r="57" spans="1:51">
      <c r="A57" s="214" t="s">
        <v>3816</v>
      </c>
      <c r="B57" s="215"/>
      <c r="C57" s="215"/>
      <c r="D57" s="215"/>
      <c r="E57" s="247"/>
      <c r="F57" s="215"/>
      <c r="AY57" s="361"/>
    </row>
    <row r="58" spans="1:51">
      <c r="A58" s="214" t="s">
        <v>3817</v>
      </c>
      <c r="B58" s="215"/>
      <c r="C58" s="215"/>
      <c r="D58" s="215"/>
      <c r="E58" s="247"/>
      <c r="F58" s="215"/>
      <c r="AY58" s="361"/>
    </row>
    <row r="59" spans="1:51">
      <c r="A59" s="214" t="s">
        <v>3818</v>
      </c>
      <c r="B59" s="215"/>
      <c r="C59" s="215"/>
      <c r="D59" s="215"/>
      <c r="E59" s="247"/>
      <c r="F59" s="215"/>
      <c r="AY59" s="361"/>
    </row>
    <row r="60" spans="1:51">
      <c r="A60" s="214" t="s">
        <v>3819</v>
      </c>
      <c r="B60" s="215"/>
      <c r="C60" s="215"/>
      <c r="D60" s="215"/>
      <c r="E60" s="247"/>
      <c r="F60" s="215"/>
      <c r="AY60" s="361"/>
    </row>
    <row r="61" spans="1:51" ht="15" thickBot="1">
      <c r="A61" s="252" t="s">
        <v>3820</v>
      </c>
      <c r="B61" s="215"/>
      <c r="C61" s="253"/>
      <c r="D61" s="253"/>
      <c r="E61" s="254"/>
      <c r="F61" s="215"/>
      <c r="AY61" s="361"/>
    </row>
    <row r="62" spans="1:51" ht="15">
      <c r="A62" s="1099" t="s">
        <v>4372</v>
      </c>
      <c r="B62" s="1100"/>
      <c r="C62" s="1100"/>
      <c r="D62" s="1100"/>
      <c r="E62" s="1100"/>
      <c r="F62" s="1100"/>
      <c r="G62" s="1100"/>
      <c r="H62" s="1100"/>
      <c r="I62" s="1100"/>
      <c r="J62" s="1100"/>
      <c r="K62" s="1100"/>
      <c r="L62" s="1100"/>
      <c r="M62" s="1100"/>
      <c r="N62" s="1100"/>
      <c r="O62" s="1100"/>
      <c r="P62" s="1100"/>
      <c r="Q62" s="1100"/>
      <c r="R62" s="1100"/>
      <c r="S62" s="1100"/>
      <c r="T62" s="1100"/>
      <c r="U62" s="1100"/>
      <c r="V62" s="1100"/>
      <c r="W62" s="1100"/>
      <c r="X62" s="1100"/>
      <c r="Y62" s="1100"/>
      <c r="Z62" s="1100"/>
      <c r="AA62" s="1100"/>
      <c r="AB62" s="1100"/>
      <c r="AC62" s="1100"/>
      <c r="AD62" s="1100"/>
      <c r="AE62" s="1100"/>
      <c r="AF62" s="1100"/>
      <c r="AG62" s="1100"/>
      <c r="AH62" s="1100"/>
      <c r="AI62" s="1100"/>
      <c r="AJ62" s="1100"/>
      <c r="AK62" s="1100"/>
      <c r="AL62" s="1100"/>
      <c r="AM62" s="1100"/>
      <c r="AN62" s="1100"/>
      <c r="AO62" s="1100"/>
      <c r="AP62" s="1100"/>
      <c r="AQ62" s="1100"/>
      <c r="AR62" s="1100"/>
      <c r="AS62" s="1100"/>
      <c r="AT62" s="1100"/>
      <c r="AU62" s="1100"/>
      <c r="AV62" s="1100"/>
      <c r="AW62" s="1100"/>
      <c r="AX62" s="1100"/>
      <c r="AY62" s="1101"/>
    </row>
    <row r="63" spans="1:51" ht="43.9" customHeight="1">
      <c r="A63" s="1102" t="s">
        <v>4408</v>
      </c>
      <c r="B63" s="1103"/>
      <c r="C63" s="1103"/>
      <c r="D63" s="1103"/>
      <c r="E63" s="1103"/>
      <c r="F63" s="1103"/>
      <c r="G63" s="1103"/>
      <c r="H63" s="1103"/>
      <c r="I63" s="1103"/>
      <c r="J63" s="1103"/>
      <c r="K63" s="1103"/>
      <c r="L63" s="1103"/>
      <c r="M63" s="1103"/>
      <c r="N63" s="1103"/>
      <c r="O63" s="1103"/>
      <c r="P63" s="1103"/>
      <c r="Q63" s="1103"/>
      <c r="R63" s="1103"/>
      <c r="S63" s="1103"/>
      <c r="T63" s="1103"/>
      <c r="U63" s="1103"/>
      <c r="V63" s="1103"/>
      <c r="W63" s="1103"/>
      <c r="X63" s="1103"/>
      <c r="Y63" s="1103"/>
      <c r="Z63" s="1103"/>
      <c r="AA63" s="1103"/>
      <c r="AB63" s="1103"/>
      <c r="AC63" s="1103"/>
      <c r="AD63" s="1103"/>
      <c r="AE63" s="1103"/>
      <c r="AF63" s="1103"/>
      <c r="AG63" s="1103"/>
      <c r="AH63" s="1103"/>
      <c r="AI63" s="1103"/>
      <c r="AJ63" s="1103"/>
      <c r="AK63" s="1103"/>
      <c r="AL63" s="1103"/>
      <c r="AM63" s="1103"/>
      <c r="AN63" s="1103"/>
      <c r="AO63" s="1103"/>
      <c r="AP63" s="1103"/>
      <c r="AQ63" s="1103"/>
      <c r="AR63" s="1103"/>
      <c r="AS63" s="1103"/>
      <c r="AT63" s="1103"/>
      <c r="AU63" s="1103"/>
      <c r="AV63" s="1103"/>
      <c r="AW63" s="1103"/>
      <c r="AX63" s="1103"/>
      <c r="AY63" s="1104"/>
    </row>
    <row r="64" spans="1:51">
      <c r="A64" s="1105" t="s">
        <v>4409</v>
      </c>
      <c r="B64" s="1106"/>
      <c r="C64" s="1106"/>
      <c r="D64" s="1106"/>
      <c r="E64" s="1106"/>
      <c r="F64" s="1106"/>
      <c r="G64" s="1106"/>
      <c r="H64" s="1106"/>
      <c r="I64" s="1106"/>
      <c r="J64" s="1106"/>
      <c r="K64" s="1106"/>
      <c r="L64" s="1106"/>
      <c r="M64" s="1106"/>
      <c r="N64" s="1106"/>
      <c r="O64" s="1106"/>
      <c r="P64" s="1106"/>
      <c r="Q64" s="1106"/>
      <c r="R64" s="1106"/>
      <c r="S64" s="1106"/>
      <c r="T64" s="1106"/>
      <c r="U64" s="1106"/>
      <c r="V64" s="1106"/>
      <c r="W64" s="1106"/>
      <c r="X64" s="1106"/>
      <c r="Y64" s="1106"/>
      <c r="Z64" s="1106"/>
      <c r="AA64" s="1106"/>
      <c r="AB64" s="1106"/>
      <c r="AC64" s="1106"/>
      <c r="AD64" s="1106"/>
      <c r="AE64" s="1106"/>
      <c r="AF64" s="1106"/>
      <c r="AG64" s="1106"/>
      <c r="AH64" s="1106"/>
      <c r="AI64" s="1106"/>
      <c r="AJ64" s="1106"/>
      <c r="AK64" s="1106"/>
      <c r="AL64" s="1106"/>
      <c r="AM64" s="1106"/>
      <c r="AN64" s="1106"/>
      <c r="AO64" s="1106"/>
      <c r="AP64" s="1106"/>
      <c r="AQ64" s="1106"/>
      <c r="AR64" s="1106"/>
      <c r="AS64" s="1106"/>
      <c r="AT64" s="1106"/>
      <c r="AU64" s="1106"/>
      <c r="AV64" s="1106"/>
      <c r="AW64" s="1106"/>
      <c r="AX64" s="1106"/>
      <c r="AY64" s="1107"/>
    </row>
    <row r="65" spans="1:51" ht="15">
      <c r="A65" s="1096" t="s">
        <v>4373</v>
      </c>
      <c r="B65" s="1097"/>
      <c r="C65" s="1097"/>
      <c r="D65" s="1097"/>
      <c r="E65" s="1097"/>
      <c r="F65" s="1097"/>
      <c r="G65" s="1097"/>
      <c r="H65" s="1097"/>
      <c r="I65" s="1097"/>
      <c r="J65" s="1097"/>
      <c r="K65" s="1097"/>
      <c r="L65" s="1097"/>
      <c r="M65" s="1097"/>
      <c r="N65" s="1097"/>
      <c r="O65" s="1097"/>
      <c r="P65" s="1097"/>
      <c r="Q65" s="1097"/>
      <c r="R65" s="1097"/>
      <c r="S65" s="1097"/>
      <c r="T65" s="1097"/>
      <c r="U65" s="1097"/>
      <c r="V65" s="1097"/>
      <c r="W65" s="1097"/>
      <c r="X65" s="1097"/>
      <c r="Y65" s="1097"/>
      <c r="Z65" s="1097"/>
      <c r="AA65" s="1097"/>
      <c r="AB65" s="1097"/>
      <c r="AC65" s="1097"/>
      <c r="AD65" s="1097"/>
      <c r="AE65" s="1097"/>
      <c r="AF65" s="1097"/>
      <c r="AG65" s="1097"/>
      <c r="AH65" s="1097"/>
      <c r="AI65" s="1097"/>
      <c r="AJ65" s="1097"/>
      <c r="AK65" s="1097"/>
      <c r="AL65" s="1097"/>
      <c r="AM65" s="1097"/>
      <c r="AN65" s="1097"/>
      <c r="AO65" s="1097"/>
      <c r="AP65" s="1097"/>
      <c r="AQ65" s="1097"/>
      <c r="AR65" s="1097"/>
      <c r="AS65" s="1097"/>
      <c r="AT65" s="1097"/>
      <c r="AU65" s="1097"/>
      <c r="AV65" s="1097"/>
      <c r="AW65" s="1097"/>
      <c r="AX65" s="1097"/>
      <c r="AY65" s="1098"/>
    </row>
    <row r="66" spans="1:51">
      <c r="A66" s="1087" t="s">
        <v>4410</v>
      </c>
      <c r="B66" s="1088"/>
      <c r="C66" s="1088"/>
      <c r="D66" s="1088"/>
      <c r="E66" s="1088"/>
      <c r="F66" s="1088"/>
      <c r="G66" s="1088"/>
      <c r="H66" s="1088"/>
      <c r="I66" s="1088"/>
      <c r="J66" s="1088"/>
      <c r="K66" s="1088"/>
      <c r="L66" s="1088"/>
      <c r="M66" s="1088"/>
      <c r="N66" s="1088"/>
      <c r="O66" s="1088"/>
      <c r="P66" s="1088"/>
      <c r="Q66" s="1088"/>
      <c r="R66" s="1088"/>
      <c r="S66" s="1088"/>
      <c r="T66" s="1088"/>
      <c r="U66" s="1088"/>
      <c r="V66" s="1088"/>
      <c r="W66" s="1088"/>
      <c r="X66" s="1088"/>
      <c r="Y66" s="1088"/>
      <c r="Z66" s="1088"/>
      <c r="AA66" s="1088"/>
      <c r="AB66" s="1088"/>
      <c r="AC66" s="1088"/>
      <c r="AD66" s="1088"/>
      <c r="AE66" s="1088"/>
      <c r="AF66" s="1088"/>
      <c r="AG66" s="1088"/>
      <c r="AH66" s="1088"/>
      <c r="AI66" s="1088"/>
      <c r="AJ66" s="1088"/>
      <c r="AK66" s="1088"/>
      <c r="AL66" s="1088"/>
      <c r="AM66" s="1088"/>
      <c r="AN66" s="1088"/>
      <c r="AO66" s="1088"/>
      <c r="AP66" s="1088"/>
      <c r="AQ66" s="1088"/>
      <c r="AR66" s="1088"/>
      <c r="AS66" s="1088"/>
      <c r="AT66" s="1088"/>
      <c r="AU66" s="1088"/>
      <c r="AV66" s="1088"/>
      <c r="AW66" s="1088"/>
      <c r="AX66" s="1088"/>
      <c r="AY66" s="1089"/>
    </row>
    <row r="67" spans="1:51">
      <c r="A67" s="1084" t="s">
        <v>4411</v>
      </c>
      <c r="B67" s="1085"/>
      <c r="C67" s="1085"/>
      <c r="D67" s="1085"/>
      <c r="E67" s="1085"/>
      <c r="F67" s="1085"/>
      <c r="G67" s="1085"/>
      <c r="H67" s="1085"/>
      <c r="I67" s="1085"/>
      <c r="J67" s="1085"/>
      <c r="K67" s="1085"/>
      <c r="L67" s="1085"/>
      <c r="M67" s="1085"/>
      <c r="N67" s="1085"/>
      <c r="O67" s="1085"/>
      <c r="P67" s="1085"/>
      <c r="Q67" s="1085"/>
      <c r="R67" s="1085"/>
      <c r="S67" s="1085"/>
      <c r="T67" s="1085"/>
      <c r="U67" s="1085"/>
      <c r="V67" s="1085"/>
      <c r="W67" s="1085"/>
      <c r="X67" s="1085"/>
      <c r="Y67" s="1085"/>
      <c r="Z67" s="1085"/>
      <c r="AA67" s="1085"/>
      <c r="AB67" s="1085"/>
      <c r="AC67" s="1085"/>
      <c r="AD67" s="1085"/>
      <c r="AE67" s="1085"/>
      <c r="AF67" s="1085"/>
      <c r="AG67" s="1085"/>
      <c r="AH67" s="1085"/>
      <c r="AI67" s="1085"/>
      <c r="AJ67" s="1085"/>
      <c r="AK67" s="1085"/>
      <c r="AL67" s="1085"/>
      <c r="AM67" s="1085"/>
      <c r="AN67" s="1085"/>
      <c r="AO67" s="1085"/>
      <c r="AP67" s="1085"/>
      <c r="AQ67" s="1085"/>
      <c r="AR67" s="1085"/>
      <c r="AS67" s="1085"/>
      <c r="AT67" s="1085"/>
      <c r="AU67" s="1085"/>
      <c r="AV67" s="1085"/>
      <c r="AW67" s="1085"/>
      <c r="AX67" s="1085"/>
      <c r="AY67" s="1086"/>
    </row>
    <row r="68" spans="1:51">
      <c r="A68" s="1087" t="s">
        <v>4412</v>
      </c>
      <c r="B68" s="1088"/>
      <c r="C68" s="1088"/>
      <c r="D68" s="1088"/>
      <c r="E68" s="1088"/>
      <c r="F68" s="1088"/>
      <c r="G68" s="1088"/>
      <c r="H68" s="1088"/>
      <c r="I68" s="1088"/>
      <c r="J68" s="1088"/>
      <c r="K68" s="1088"/>
      <c r="L68" s="1088"/>
      <c r="M68" s="1088"/>
      <c r="N68" s="1088"/>
      <c r="O68" s="1088"/>
      <c r="P68" s="1088"/>
      <c r="Q68" s="1088"/>
      <c r="R68" s="1088"/>
      <c r="S68" s="1088"/>
      <c r="T68" s="1088"/>
      <c r="U68" s="1088"/>
      <c r="V68" s="1088"/>
      <c r="W68" s="1088"/>
      <c r="X68" s="1088"/>
      <c r="Y68" s="1088"/>
      <c r="Z68" s="1088"/>
      <c r="AA68" s="1088"/>
      <c r="AB68" s="1088"/>
      <c r="AC68" s="1088"/>
      <c r="AD68" s="1088"/>
      <c r="AE68" s="1088"/>
      <c r="AF68" s="1088"/>
      <c r="AG68" s="1088"/>
      <c r="AH68" s="1088"/>
      <c r="AI68" s="1088"/>
      <c r="AJ68" s="1088"/>
      <c r="AK68" s="1088"/>
      <c r="AL68" s="1088"/>
      <c r="AM68" s="1088"/>
      <c r="AN68" s="1088"/>
      <c r="AO68" s="1088"/>
      <c r="AP68" s="1088"/>
      <c r="AQ68" s="1088"/>
      <c r="AR68" s="1088"/>
      <c r="AS68" s="1088"/>
      <c r="AT68" s="1088"/>
      <c r="AU68" s="1088"/>
      <c r="AV68" s="1088"/>
      <c r="AW68" s="1088"/>
      <c r="AX68" s="1088"/>
      <c r="AY68" s="1089"/>
    </row>
    <row r="69" spans="1:51">
      <c r="A69" s="1084" t="s">
        <v>4413</v>
      </c>
      <c r="B69" s="1085"/>
      <c r="C69" s="1085"/>
      <c r="D69" s="1085"/>
      <c r="E69" s="1085"/>
      <c r="F69" s="1085"/>
      <c r="G69" s="1085"/>
      <c r="H69" s="1085"/>
      <c r="I69" s="1085"/>
      <c r="J69" s="1085"/>
      <c r="K69" s="1085"/>
      <c r="L69" s="1085"/>
      <c r="M69" s="1085"/>
      <c r="N69" s="1085"/>
      <c r="O69" s="1085"/>
      <c r="P69" s="1085"/>
      <c r="Q69" s="1085"/>
      <c r="R69" s="1085"/>
      <c r="S69" s="1085"/>
      <c r="T69" s="1085"/>
      <c r="U69" s="1085"/>
      <c r="V69" s="1085"/>
      <c r="W69" s="1085"/>
      <c r="X69" s="1085"/>
      <c r="Y69" s="1085"/>
      <c r="Z69" s="1085"/>
      <c r="AA69" s="1085"/>
      <c r="AB69" s="1085"/>
      <c r="AC69" s="1085"/>
      <c r="AD69" s="1085"/>
      <c r="AE69" s="1085"/>
      <c r="AF69" s="1085"/>
      <c r="AG69" s="1085"/>
      <c r="AH69" s="1085"/>
      <c r="AI69" s="1085"/>
      <c r="AJ69" s="1085"/>
      <c r="AK69" s="1085"/>
      <c r="AL69" s="1085"/>
      <c r="AM69" s="1085"/>
      <c r="AN69" s="1085"/>
      <c r="AO69" s="1085"/>
      <c r="AP69" s="1085"/>
      <c r="AQ69" s="1085"/>
      <c r="AR69" s="1085"/>
      <c r="AS69" s="1085"/>
      <c r="AT69" s="1085"/>
      <c r="AU69" s="1085"/>
      <c r="AV69" s="1085"/>
      <c r="AW69" s="1085"/>
      <c r="AX69" s="1085"/>
      <c r="AY69" s="1086"/>
    </row>
    <row r="70" spans="1:51">
      <c r="A70" s="1087" t="s">
        <v>4414</v>
      </c>
      <c r="B70" s="1088"/>
      <c r="C70" s="1088"/>
      <c r="D70" s="1088"/>
      <c r="E70" s="1088"/>
      <c r="F70" s="1088"/>
      <c r="G70" s="1088"/>
      <c r="H70" s="1088"/>
      <c r="I70" s="1088"/>
      <c r="J70" s="1088"/>
      <c r="K70" s="1088"/>
      <c r="L70" s="1088"/>
      <c r="M70" s="1088"/>
      <c r="N70" s="1088"/>
      <c r="O70" s="1088"/>
      <c r="P70" s="1088"/>
      <c r="Q70" s="1088"/>
      <c r="R70" s="1088"/>
      <c r="S70" s="1088"/>
      <c r="T70" s="1088"/>
      <c r="U70" s="1088"/>
      <c r="V70" s="1088"/>
      <c r="W70" s="1088"/>
      <c r="X70" s="1088"/>
      <c r="Y70" s="1088"/>
      <c r="Z70" s="1088"/>
      <c r="AA70" s="1088"/>
      <c r="AB70" s="1088"/>
      <c r="AC70" s="1088"/>
      <c r="AD70" s="1088"/>
      <c r="AE70" s="1088"/>
      <c r="AF70" s="1088"/>
      <c r="AG70" s="1088"/>
      <c r="AH70" s="1088"/>
      <c r="AI70" s="1088"/>
      <c r="AJ70" s="1088"/>
      <c r="AK70" s="1088"/>
      <c r="AL70" s="1088"/>
      <c r="AM70" s="1088"/>
      <c r="AN70" s="1088"/>
      <c r="AO70" s="1088"/>
      <c r="AP70" s="1088"/>
      <c r="AQ70" s="1088"/>
      <c r="AR70" s="1088"/>
      <c r="AS70" s="1088"/>
      <c r="AT70" s="1088"/>
      <c r="AU70" s="1088"/>
      <c r="AV70" s="1088"/>
      <c r="AW70" s="1088"/>
      <c r="AX70" s="1088"/>
      <c r="AY70" s="1089"/>
    </row>
    <row r="71" spans="1:51">
      <c r="A71" s="1084" t="s">
        <v>4415</v>
      </c>
      <c r="B71" s="1085"/>
      <c r="C71" s="1085"/>
      <c r="D71" s="1085"/>
      <c r="E71" s="1085"/>
      <c r="F71" s="1085"/>
      <c r="G71" s="1085"/>
      <c r="H71" s="1085"/>
      <c r="I71" s="1085"/>
      <c r="J71" s="1085"/>
      <c r="K71" s="1085"/>
      <c r="L71" s="1085"/>
      <c r="M71" s="1085"/>
      <c r="N71" s="1085"/>
      <c r="O71" s="1085"/>
      <c r="P71" s="1085"/>
      <c r="Q71" s="1085"/>
      <c r="R71" s="1085"/>
      <c r="S71" s="1085"/>
      <c r="T71" s="1085"/>
      <c r="U71" s="1085"/>
      <c r="V71" s="1085"/>
      <c r="W71" s="1085"/>
      <c r="X71" s="1085"/>
      <c r="Y71" s="1085"/>
      <c r="Z71" s="1085"/>
      <c r="AA71" s="1085"/>
      <c r="AB71" s="1085"/>
      <c r="AC71" s="1085"/>
      <c r="AD71" s="1085"/>
      <c r="AE71" s="1085"/>
      <c r="AF71" s="1085"/>
      <c r="AG71" s="1085"/>
      <c r="AH71" s="1085"/>
      <c r="AI71" s="1085"/>
      <c r="AJ71" s="1085"/>
      <c r="AK71" s="1085"/>
      <c r="AL71" s="1085"/>
      <c r="AM71" s="1085"/>
      <c r="AN71" s="1085"/>
      <c r="AO71" s="1085"/>
      <c r="AP71" s="1085"/>
      <c r="AQ71" s="1085"/>
      <c r="AR71" s="1085"/>
      <c r="AS71" s="1085"/>
      <c r="AT71" s="1085"/>
      <c r="AU71" s="1085"/>
      <c r="AV71" s="1085"/>
      <c r="AW71" s="1085"/>
      <c r="AX71" s="1085"/>
      <c r="AY71" s="1086"/>
    </row>
    <row r="72" spans="1:51">
      <c r="A72" s="1087" t="s">
        <v>4416</v>
      </c>
      <c r="B72" s="1088"/>
      <c r="C72" s="1088"/>
      <c r="D72" s="1088"/>
      <c r="E72" s="1088"/>
      <c r="F72" s="1088"/>
      <c r="G72" s="1088"/>
      <c r="H72" s="1088"/>
      <c r="I72" s="1088"/>
      <c r="J72" s="1088"/>
      <c r="K72" s="1088"/>
      <c r="L72" s="1088"/>
      <c r="M72" s="1088"/>
      <c r="N72" s="1088"/>
      <c r="O72" s="1088"/>
      <c r="P72" s="1088"/>
      <c r="Q72" s="1088"/>
      <c r="R72" s="1088"/>
      <c r="S72" s="1088"/>
      <c r="T72" s="1088"/>
      <c r="U72" s="1088"/>
      <c r="V72" s="1088"/>
      <c r="W72" s="1088"/>
      <c r="X72" s="1088"/>
      <c r="Y72" s="1088"/>
      <c r="Z72" s="1088"/>
      <c r="AA72" s="1088"/>
      <c r="AB72" s="1088"/>
      <c r="AC72" s="1088"/>
      <c r="AD72" s="1088"/>
      <c r="AE72" s="1088"/>
      <c r="AF72" s="1088"/>
      <c r="AG72" s="1088"/>
      <c r="AH72" s="1088"/>
      <c r="AI72" s="1088"/>
      <c r="AJ72" s="1088"/>
      <c r="AK72" s="1088"/>
      <c r="AL72" s="1088"/>
      <c r="AM72" s="1088"/>
      <c r="AN72" s="1088"/>
      <c r="AO72" s="1088"/>
      <c r="AP72" s="1088"/>
      <c r="AQ72" s="1088"/>
      <c r="AR72" s="1088"/>
      <c r="AS72" s="1088"/>
      <c r="AT72" s="1088"/>
      <c r="AU72" s="1088"/>
      <c r="AV72" s="1088"/>
      <c r="AW72" s="1088"/>
      <c r="AX72" s="1088"/>
      <c r="AY72" s="1089"/>
    </row>
    <row r="73" spans="1:51">
      <c r="A73" s="1084" t="s">
        <v>4417</v>
      </c>
      <c r="B73" s="1085"/>
      <c r="C73" s="1085"/>
      <c r="D73" s="1085"/>
      <c r="E73" s="1085"/>
      <c r="F73" s="1085"/>
      <c r="G73" s="1085"/>
      <c r="H73" s="1085"/>
      <c r="I73" s="1085"/>
      <c r="J73" s="1085"/>
      <c r="K73" s="1085"/>
      <c r="L73" s="1085"/>
      <c r="M73" s="1085"/>
      <c r="N73" s="1085"/>
      <c r="O73" s="1085"/>
      <c r="P73" s="1085"/>
      <c r="Q73" s="1085"/>
      <c r="R73" s="1085"/>
      <c r="S73" s="1085"/>
      <c r="T73" s="1085"/>
      <c r="U73" s="1085"/>
      <c r="V73" s="1085"/>
      <c r="W73" s="1085"/>
      <c r="X73" s="1085"/>
      <c r="Y73" s="1085"/>
      <c r="Z73" s="1085"/>
      <c r="AA73" s="1085"/>
      <c r="AB73" s="1085"/>
      <c r="AC73" s="1085"/>
      <c r="AD73" s="1085"/>
      <c r="AE73" s="1085"/>
      <c r="AF73" s="1085"/>
      <c r="AG73" s="1085"/>
      <c r="AH73" s="1085"/>
      <c r="AI73" s="1085"/>
      <c r="AJ73" s="1085"/>
      <c r="AK73" s="1085"/>
      <c r="AL73" s="1085"/>
      <c r="AM73" s="1085"/>
      <c r="AN73" s="1085"/>
      <c r="AO73" s="1085"/>
      <c r="AP73" s="1085"/>
      <c r="AQ73" s="1085"/>
      <c r="AR73" s="1085"/>
      <c r="AS73" s="1085"/>
      <c r="AT73" s="1085"/>
      <c r="AU73" s="1085"/>
      <c r="AV73" s="1085"/>
      <c r="AW73" s="1085"/>
      <c r="AX73" s="1085"/>
      <c r="AY73" s="1086"/>
    </row>
    <row r="74" spans="1:51">
      <c r="A74" s="1087" t="s">
        <v>4418</v>
      </c>
      <c r="B74" s="1088"/>
      <c r="C74" s="1088"/>
      <c r="D74" s="1088"/>
      <c r="E74" s="1088"/>
      <c r="F74" s="1088"/>
      <c r="G74" s="1088"/>
      <c r="H74" s="1088"/>
      <c r="I74" s="1088"/>
      <c r="J74" s="1088"/>
      <c r="K74" s="1088"/>
      <c r="L74" s="1088"/>
      <c r="M74" s="1088"/>
      <c r="N74" s="1088"/>
      <c r="O74" s="1088"/>
      <c r="P74" s="1088"/>
      <c r="Q74" s="1088"/>
      <c r="R74" s="1088"/>
      <c r="S74" s="1088"/>
      <c r="T74" s="1088"/>
      <c r="U74" s="1088"/>
      <c r="V74" s="1088"/>
      <c r="W74" s="1088"/>
      <c r="X74" s="1088"/>
      <c r="Y74" s="1088"/>
      <c r="Z74" s="1088"/>
      <c r="AA74" s="1088"/>
      <c r="AB74" s="1088"/>
      <c r="AC74" s="1088"/>
      <c r="AD74" s="1088"/>
      <c r="AE74" s="1088"/>
      <c r="AF74" s="1088"/>
      <c r="AG74" s="1088"/>
      <c r="AH74" s="1088"/>
      <c r="AI74" s="1088"/>
      <c r="AJ74" s="1088"/>
      <c r="AK74" s="1088"/>
      <c r="AL74" s="1088"/>
      <c r="AM74" s="1088"/>
      <c r="AN74" s="1088"/>
      <c r="AO74" s="1088"/>
      <c r="AP74" s="1088"/>
      <c r="AQ74" s="1088"/>
      <c r="AR74" s="1088"/>
      <c r="AS74" s="1088"/>
      <c r="AT74" s="1088"/>
      <c r="AU74" s="1088"/>
      <c r="AV74" s="1088"/>
      <c r="AW74" s="1088"/>
      <c r="AX74" s="1088"/>
      <c r="AY74" s="1089"/>
    </row>
    <row r="75" spans="1:51">
      <c r="A75" s="1084" t="s">
        <v>4419</v>
      </c>
      <c r="B75" s="1085"/>
      <c r="C75" s="1085"/>
      <c r="D75" s="1085"/>
      <c r="E75" s="1085"/>
      <c r="F75" s="1085"/>
      <c r="G75" s="1085"/>
      <c r="H75" s="1085"/>
      <c r="I75" s="1085"/>
      <c r="J75" s="1085"/>
      <c r="K75" s="1085"/>
      <c r="L75" s="1085"/>
      <c r="M75" s="1085"/>
      <c r="N75" s="1085"/>
      <c r="O75" s="1085"/>
      <c r="P75" s="1085"/>
      <c r="Q75" s="1085"/>
      <c r="R75" s="1085"/>
      <c r="S75" s="1085"/>
      <c r="T75" s="1085"/>
      <c r="U75" s="1085"/>
      <c r="V75" s="1085"/>
      <c r="W75" s="1085"/>
      <c r="X75" s="1085"/>
      <c r="Y75" s="1085"/>
      <c r="Z75" s="1085"/>
      <c r="AA75" s="1085"/>
      <c r="AB75" s="1085"/>
      <c r="AC75" s="1085"/>
      <c r="AD75" s="1085"/>
      <c r="AE75" s="1085"/>
      <c r="AF75" s="1085"/>
      <c r="AG75" s="1085"/>
      <c r="AH75" s="1085"/>
      <c r="AI75" s="1085"/>
      <c r="AJ75" s="1085"/>
      <c r="AK75" s="1085"/>
      <c r="AL75" s="1085"/>
      <c r="AM75" s="1085"/>
      <c r="AN75" s="1085"/>
      <c r="AO75" s="1085"/>
      <c r="AP75" s="1085"/>
      <c r="AQ75" s="1085"/>
      <c r="AR75" s="1085"/>
      <c r="AS75" s="1085"/>
      <c r="AT75" s="1085"/>
      <c r="AU75" s="1085"/>
      <c r="AV75" s="1085"/>
      <c r="AW75" s="1085"/>
      <c r="AX75" s="1085"/>
      <c r="AY75" s="1086"/>
    </row>
    <row r="76" spans="1:51">
      <c r="A76" s="1081" t="s">
        <v>4420</v>
      </c>
      <c r="B76" s="1082"/>
      <c r="C76" s="1082"/>
      <c r="D76" s="1082"/>
      <c r="E76" s="1082"/>
      <c r="F76" s="1082"/>
      <c r="G76" s="1082"/>
      <c r="H76" s="1082"/>
      <c r="I76" s="1082"/>
      <c r="J76" s="1082"/>
      <c r="K76" s="1082"/>
      <c r="L76" s="1082"/>
      <c r="M76" s="1082"/>
      <c r="N76" s="1082"/>
      <c r="O76" s="1082"/>
      <c r="P76" s="1082"/>
      <c r="Q76" s="1082"/>
      <c r="R76" s="1082"/>
      <c r="S76" s="1082"/>
      <c r="T76" s="1082"/>
      <c r="U76" s="1082"/>
      <c r="V76" s="1082"/>
      <c r="W76" s="1082"/>
      <c r="X76" s="1082"/>
      <c r="Y76" s="1082"/>
      <c r="Z76" s="1082"/>
      <c r="AA76" s="1082"/>
      <c r="AB76" s="1082"/>
      <c r="AC76" s="1082"/>
      <c r="AD76" s="1082"/>
      <c r="AE76" s="1082"/>
      <c r="AF76" s="1082"/>
      <c r="AG76" s="1082"/>
      <c r="AH76" s="1082"/>
      <c r="AI76" s="1082"/>
      <c r="AJ76" s="1082"/>
      <c r="AK76" s="1082"/>
      <c r="AL76" s="1082"/>
      <c r="AM76" s="1082"/>
      <c r="AN76" s="1082"/>
      <c r="AO76" s="1082"/>
      <c r="AP76" s="1082"/>
      <c r="AQ76" s="1082"/>
      <c r="AR76" s="1082"/>
      <c r="AS76" s="1082"/>
      <c r="AT76" s="1082"/>
      <c r="AU76" s="1082"/>
      <c r="AV76" s="1082"/>
      <c r="AW76" s="1082"/>
      <c r="AX76" s="1082"/>
      <c r="AY76" s="1083"/>
    </row>
    <row r="77" spans="1:51">
      <c r="A77" s="1078" t="s">
        <v>4421</v>
      </c>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1079"/>
      <c r="AD77" s="1079"/>
      <c r="AE77" s="1079"/>
      <c r="AF77" s="1079"/>
      <c r="AG77" s="1079"/>
      <c r="AH77" s="1079"/>
      <c r="AI77" s="1079"/>
      <c r="AJ77" s="1079"/>
      <c r="AK77" s="1079"/>
      <c r="AL77" s="1079"/>
      <c r="AM77" s="1079"/>
      <c r="AN77" s="1079"/>
      <c r="AO77" s="1079"/>
      <c r="AP77" s="1079"/>
      <c r="AQ77" s="1079"/>
      <c r="AR77" s="1079"/>
      <c r="AS77" s="1079"/>
      <c r="AT77" s="1079"/>
      <c r="AU77" s="1079"/>
      <c r="AV77" s="1079"/>
      <c r="AW77" s="1079"/>
      <c r="AX77" s="1079"/>
      <c r="AY77" s="1080"/>
    </row>
    <row r="78" spans="1:51">
      <c r="A78" s="1075" t="s">
        <v>4422</v>
      </c>
      <c r="B78" s="1076"/>
      <c r="C78" s="1076"/>
      <c r="D78" s="1076"/>
      <c r="E78" s="1076"/>
      <c r="F78" s="1076"/>
      <c r="G78" s="1076"/>
      <c r="H78" s="1076"/>
      <c r="I78" s="1076"/>
      <c r="J78" s="1076"/>
      <c r="K78" s="1076"/>
      <c r="L78" s="1076"/>
      <c r="M78" s="1076"/>
      <c r="N78" s="1076"/>
      <c r="O78" s="1076"/>
      <c r="P78" s="1076"/>
      <c r="Q78" s="1076"/>
      <c r="R78" s="1076"/>
      <c r="S78" s="1076"/>
      <c r="T78" s="1076"/>
      <c r="U78" s="1076"/>
      <c r="V78" s="1076"/>
      <c r="W78" s="1076"/>
      <c r="X78" s="1076"/>
      <c r="Y78" s="1076"/>
      <c r="Z78" s="1076"/>
      <c r="AA78" s="1076"/>
      <c r="AB78" s="1076"/>
      <c r="AC78" s="1076"/>
      <c r="AD78" s="1076"/>
      <c r="AE78" s="1076"/>
      <c r="AF78" s="1076"/>
      <c r="AG78" s="1076"/>
      <c r="AH78" s="1076"/>
      <c r="AI78" s="1076"/>
      <c r="AJ78" s="1076"/>
      <c r="AK78" s="1076"/>
      <c r="AL78" s="1076"/>
      <c r="AM78" s="1076"/>
      <c r="AN78" s="1076"/>
      <c r="AO78" s="1076"/>
      <c r="AP78" s="1076"/>
      <c r="AQ78" s="1076"/>
      <c r="AR78" s="1076"/>
      <c r="AS78" s="1076"/>
      <c r="AT78" s="1076"/>
      <c r="AU78" s="1076"/>
      <c r="AV78" s="1076"/>
      <c r="AW78" s="1076"/>
      <c r="AX78" s="1076"/>
      <c r="AY78" s="1077"/>
    </row>
    <row r="79" spans="1:51">
      <c r="A79" s="1093" t="s">
        <v>4423</v>
      </c>
      <c r="B79" s="1094"/>
      <c r="C79" s="1094"/>
      <c r="D79" s="1094"/>
      <c r="E79" s="1094"/>
      <c r="F79" s="1094"/>
      <c r="G79" s="1094"/>
      <c r="H79" s="1094"/>
      <c r="I79" s="1094"/>
      <c r="J79" s="1094"/>
      <c r="K79" s="1094"/>
      <c r="L79" s="1094"/>
      <c r="M79" s="1094"/>
      <c r="N79" s="1094"/>
      <c r="O79" s="1094"/>
      <c r="P79" s="1094"/>
      <c r="Q79" s="1094"/>
      <c r="R79" s="1094"/>
      <c r="S79" s="1094"/>
      <c r="T79" s="1094"/>
      <c r="U79" s="1094"/>
      <c r="V79" s="1094"/>
      <c r="W79" s="1094"/>
      <c r="X79" s="1094"/>
      <c r="Y79" s="1094"/>
      <c r="Z79" s="1094"/>
      <c r="AA79" s="1094"/>
      <c r="AB79" s="1094"/>
      <c r="AC79" s="1094"/>
      <c r="AD79" s="1094"/>
      <c r="AE79" s="1094"/>
      <c r="AF79" s="1094"/>
      <c r="AG79" s="1094"/>
      <c r="AH79" s="1094"/>
      <c r="AI79" s="1094"/>
      <c r="AJ79" s="1094"/>
      <c r="AK79" s="1094"/>
      <c r="AL79" s="1094"/>
      <c r="AM79" s="1094"/>
      <c r="AN79" s="1094"/>
      <c r="AO79" s="1094"/>
      <c r="AP79" s="1094"/>
      <c r="AQ79" s="1094"/>
      <c r="AR79" s="1094"/>
      <c r="AS79" s="1094"/>
      <c r="AT79" s="1094"/>
      <c r="AU79" s="1094"/>
      <c r="AV79" s="1094"/>
      <c r="AW79" s="1094"/>
      <c r="AX79" s="1094"/>
      <c r="AY79" s="1095"/>
    </row>
    <row r="80" spans="1:51">
      <c r="A80" s="1090" t="s">
        <v>4424</v>
      </c>
      <c r="B80" s="1091"/>
      <c r="C80" s="1091"/>
      <c r="D80" s="1091"/>
      <c r="E80" s="1091"/>
      <c r="F80" s="1091"/>
      <c r="G80" s="1091"/>
      <c r="H80" s="1091"/>
      <c r="I80" s="1091"/>
      <c r="J80" s="1091"/>
      <c r="K80" s="1091"/>
      <c r="L80" s="1091"/>
      <c r="M80" s="1091"/>
      <c r="N80" s="1091"/>
      <c r="O80" s="1091"/>
      <c r="P80" s="1091"/>
      <c r="Q80" s="1091"/>
      <c r="R80" s="1091"/>
      <c r="S80" s="1091"/>
      <c r="T80" s="1091"/>
      <c r="U80" s="1091"/>
      <c r="V80" s="1091"/>
      <c r="W80" s="1091"/>
      <c r="X80" s="1091"/>
      <c r="Y80" s="1091"/>
      <c r="Z80" s="1091"/>
      <c r="AA80" s="1091"/>
      <c r="AB80" s="1091"/>
      <c r="AC80" s="1091"/>
      <c r="AD80" s="1091"/>
      <c r="AE80" s="1091"/>
      <c r="AF80" s="1091"/>
      <c r="AG80" s="1091"/>
      <c r="AH80" s="1091"/>
      <c r="AI80" s="1091"/>
      <c r="AJ80" s="1091"/>
      <c r="AK80" s="1091"/>
      <c r="AL80" s="1091"/>
      <c r="AM80" s="1091"/>
      <c r="AN80" s="1091"/>
      <c r="AO80" s="1091"/>
      <c r="AP80" s="1091"/>
      <c r="AQ80" s="1091"/>
      <c r="AR80" s="1091"/>
      <c r="AS80" s="1091"/>
      <c r="AT80" s="1091"/>
      <c r="AU80" s="1091"/>
      <c r="AV80" s="1091"/>
      <c r="AW80" s="1091"/>
      <c r="AX80" s="1091"/>
      <c r="AY80" s="1092"/>
    </row>
    <row r="81" spans="1:51">
      <c r="A81" s="1075" t="s">
        <v>4425</v>
      </c>
      <c r="B81" s="1076"/>
      <c r="C81" s="1076"/>
      <c r="D81" s="1076"/>
      <c r="E81" s="1076"/>
      <c r="F81" s="1076"/>
      <c r="G81" s="1076"/>
      <c r="H81" s="1076"/>
      <c r="I81" s="1076"/>
      <c r="J81" s="1076"/>
      <c r="K81" s="1076"/>
      <c r="L81" s="1076"/>
      <c r="M81" s="1076"/>
      <c r="N81" s="1076"/>
      <c r="O81" s="1076"/>
      <c r="P81" s="1076"/>
      <c r="Q81" s="1076"/>
      <c r="R81" s="1076"/>
      <c r="S81" s="1076"/>
      <c r="T81" s="1076"/>
      <c r="U81" s="1076"/>
      <c r="V81" s="1076"/>
      <c r="W81" s="1076"/>
      <c r="X81" s="1076"/>
      <c r="Y81" s="1076"/>
      <c r="Z81" s="1076"/>
      <c r="AA81" s="1076"/>
      <c r="AB81" s="1076"/>
      <c r="AC81" s="1076"/>
      <c r="AD81" s="1076"/>
      <c r="AE81" s="1076"/>
      <c r="AF81" s="1076"/>
      <c r="AG81" s="1076"/>
      <c r="AH81" s="1076"/>
      <c r="AI81" s="1076"/>
      <c r="AJ81" s="1076"/>
      <c r="AK81" s="1076"/>
      <c r="AL81" s="1076"/>
      <c r="AM81" s="1076"/>
      <c r="AN81" s="1076"/>
      <c r="AO81" s="1076"/>
      <c r="AP81" s="1076"/>
      <c r="AQ81" s="1076"/>
      <c r="AR81" s="1076"/>
      <c r="AS81" s="1076"/>
      <c r="AT81" s="1076"/>
      <c r="AU81" s="1076"/>
      <c r="AV81" s="1076"/>
      <c r="AW81" s="1076"/>
      <c r="AX81" s="1076"/>
      <c r="AY81" s="1077"/>
    </row>
    <row r="82" spans="1:51">
      <c r="A82" s="1087" t="s">
        <v>4426</v>
      </c>
      <c r="B82" s="1088"/>
      <c r="C82" s="1088"/>
      <c r="D82" s="1088"/>
      <c r="E82" s="1088"/>
      <c r="F82" s="1088"/>
      <c r="G82" s="1088"/>
      <c r="H82" s="1088"/>
      <c r="I82" s="1088"/>
      <c r="J82" s="1088"/>
      <c r="K82" s="1088"/>
      <c r="L82" s="1088"/>
      <c r="M82" s="1088"/>
      <c r="N82" s="1088"/>
      <c r="O82" s="1088"/>
      <c r="P82" s="1088"/>
      <c r="Q82" s="1088"/>
      <c r="R82" s="1088"/>
      <c r="S82" s="1088"/>
      <c r="T82" s="1088"/>
      <c r="U82" s="1088"/>
      <c r="V82" s="1088"/>
      <c r="W82" s="1088"/>
      <c r="X82" s="1088"/>
      <c r="Y82" s="1088"/>
      <c r="Z82" s="1088"/>
      <c r="AA82" s="1088"/>
      <c r="AB82" s="1088"/>
      <c r="AC82" s="1088"/>
      <c r="AD82" s="1088"/>
      <c r="AE82" s="1088"/>
      <c r="AF82" s="1088"/>
      <c r="AG82" s="1088"/>
      <c r="AH82" s="1088"/>
      <c r="AI82" s="1088"/>
      <c r="AJ82" s="1088"/>
      <c r="AK82" s="1088"/>
      <c r="AL82" s="1088"/>
      <c r="AM82" s="1088"/>
      <c r="AN82" s="1088"/>
      <c r="AO82" s="1088"/>
      <c r="AP82" s="1088"/>
      <c r="AQ82" s="1088"/>
      <c r="AR82" s="1088"/>
      <c r="AS82" s="1088"/>
      <c r="AT82" s="1088"/>
      <c r="AU82" s="1088"/>
      <c r="AV82" s="1088"/>
      <c r="AW82" s="1088"/>
      <c r="AX82" s="1088"/>
      <c r="AY82" s="1089"/>
    </row>
    <row r="83" spans="1:51">
      <c r="A83" s="1084" t="s">
        <v>4427</v>
      </c>
      <c r="B83" s="1085"/>
      <c r="C83" s="1085"/>
      <c r="D83" s="1085"/>
      <c r="E83" s="1085"/>
      <c r="F83" s="1085"/>
      <c r="G83" s="1085"/>
      <c r="H83" s="1085"/>
      <c r="I83" s="1085"/>
      <c r="J83" s="1085"/>
      <c r="K83" s="1085"/>
      <c r="L83" s="1085"/>
      <c r="M83" s="1085"/>
      <c r="N83" s="1085"/>
      <c r="O83" s="1085"/>
      <c r="P83" s="1085"/>
      <c r="Q83" s="1085"/>
      <c r="R83" s="1085"/>
      <c r="S83" s="1085"/>
      <c r="T83" s="1085"/>
      <c r="U83" s="1085"/>
      <c r="V83" s="1085"/>
      <c r="W83" s="1085"/>
      <c r="X83" s="1085"/>
      <c r="Y83" s="1085"/>
      <c r="Z83" s="1085"/>
      <c r="AA83" s="1085"/>
      <c r="AB83" s="1085"/>
      <c r="AC83" s="1085"/>
      <c r="AD83" s="1085"/>
      <c r="AE83" s="1085"/>
      <c r="AF83" s="1085"/>
      <c r="AG83" s="1085"/>
      <c r="AH83" s="1085"/>
      <c r="AI83" s="1085"/>
      <c r="AJ83" s="1085"/>
      <c r="AK83" s="1085"/>
      <c r="AL83" s="1085"/>
      <c r="AM83" s="1085"/>
      <c r="AN83" s="1085"/>
      <c r="AO83" s="1085"/>
      <c r="AP83" s="1085"/>
      <c r="AQ83" s="1085"/>
      <c r="AR83" s="1085"/>
      <c r="AS83" s="1085"/>
      <c r="AT83" s="1085"/>
      <c r="AU83" s="1085"/>
      <c r="AV83" s="1085"/>
      <c r="AW83" s="1085"/>
      <c r="AX83" s="1085"/>
      <c r="AY83" s="1086"/>
    </row>
    <row r="84" spans="1:51">
      <c r="A84" s="364" t="s">
        <v>4428</v>
      </c>
      <c r="B84" s="365"/>
      <c r="C84" s="365"/>
      <c r="D84" s="365"/>
      <c r="E84" s="365"/>
      <c r="F84" s="365"/>
      <c r="G84" s="365"/>
      <c r="H84" s="365"/>
      <c r="I84" s="365"/>
      <c r="J84" s="365"/>
      <c r="K84" s="365"/>
      <c r="L84" s="365"/>
      <c r="M84" s="365"/>
      <c r="N84" s="365"/>
      <c r="O84" s="365"/>
      <c r="P84" s="365"/>
      <c r="Q84" s="365"/>
      <c r="R84" s="365"/>
      <c r="S84" s="365"/>
      <c r="T84" s="365"/>
      <c r="U84" s="365"/>
      <c r="V84" s="365"/>
      <c r="W84" s="365"/>
      <c r="X84" s="365"/>
      <c r="Y84" s="365"/>
      <c r="Z84" s="365"/>
      <c r="AA84" s="365"/>
      <c r="AB84" s="365"/>
      <c r="AC84" s="365"/>
      <c r="AD84" s="365"/>
      <c r="AE84" s="365"/>
      <c r="AF84" s="365"/>
      <c r="AG84" s="365"/>
      <c r="AH84" s="365"/>
      <c r="AI84" s="365"/>
      <c r="AJ84" s="365"/>
      <c r="AK84" s="365"/>
      <c r="AL84" s="365"/>
      <c r="AM84" s="365"/>
      <c r="AN84" s="365"/>
      <c r="AO84" s="365"/>
      <c r="AP84" s="365"/>
      <c r="AQ84" s="365"/>
      <c r="AR84" s="365"/>
      <c r="AS84" s="365"/>
      <c r="AT84" s="365"/>
      <c r="AU84" s="365"/>
      <c r="AV84" s="365"/>
      <c r="AW84" s="365"/>
      <c r="AX84" s="365"/>
      <c r="AY84" s="366"/>
    </row>
    <row r="85" spans="1:51">
      <c r="A85" s="1090" t="s">
        <v>4429</v>
      </c>
      <c r="B85" s="1108"/>
      <c r="C85" s="1108"/>
      <c r="D85" s="1108"/>
      <c r="E85" s="1108"/>
      <c r="F85" s="1108"/>
      <c r="G85" s="1108"/>
      <c r="H85" s="1108"/>
      <c r="I85" s="1108"/>
      <c r="J85" s="1108"/>
      <c r="K85" s="1108"/>
      <c r="L85" s="1108"/>
      <c r="M85" s="1108"/>
      <c r="N85" s="1108"/>
      <c r="O85" s="1108"/>
      <c r="P85" s="1108"/>
      <c r="Q85" s="1108"/>
      <c r="R85" s="1108"/>
      <c r="S85" s="1108"/>
      <c r="T85" s="1108"/>
      <c r="U85" s="1108"/>
      <c r="V85" s="1108"/>
      <c r="W85" s="1108"/>
      <c r="X85" s="1108"/>
      <c r="Y85" s="1108"/>
      <c r="Z85" s="1108"/>
      <c r="AA85" s="1108"/>
      <c r="AB85" s="1108"/>
      <c r="AC85" s="1108"/>
      <c r="AD85" s="1108"/>
      <c r="AE85" s="1108"/>
      <c r="AF85" s="1108"/>
      <c r="AG85" s="1108"/>
      <c r="AH85" s="1108"/>
      <c r="AI85" s="1108"/>
      <c r="AJ85" s="1108"/>
      <c r="AK85" s="1108"/>
      <c r="AL85" s="1108"/>
      <c r="AM85" s="1108"/>
      <c r="AN85" s="1108"/>
      <c r="AO85" s="1108"/>
      <c r="AP85" s="1108"/>
      <c r="AQ85" s="1108"/>
      <c r="AR85" s="1108"/>
      <c r="AS85" s="1108"/>
      <c r="AT85" s="1108"/>
      <c r="AU85" s="1108"/>
      <c r="AV85" s="1108"/>
      <c r="AW85" s="1108"/>
      <c r="AX85" s="1108"/>
      <c r="AY85" s="1109"/>
    </row>
    <row r="86" spans="1:51">
      <c r="A86" s="1075" t="s">
        <v>4430</v>
      </c>
      <c r="B86" s="1076"/>
      <c r="C86" s="1076"/>
      <c r="D86" s="1076"/>
      <c r="E86" s="1076"/>
      <c r="F86" s="1076"/>
      <c r="G86" s="1076"/>
      <c r="H86" s="1076"/>
      <c r="I86" s="1076"/>
      <c r="J86" s="1076"/>
      <c r="K86" s="1076"/>
      <c r="L86" s="1076"/>
      <c r="M86" s="1076"/>
      <c r="N86" s="1076"/>
      <c r="O86" s="1076"/>
      <c r="P86" s="1076"/>
      <c r="Q86" s="1076"/>
      <c r="R86" s="1076"/>
      <c r="S86" s="1076"/>
      <c r="T86" s="1076"/>
      <c r="U86" s="1076"/>
      <c r="V86" s="1076"/>
      <c r="W86" s="1076"/>
      <c r="X86" s="1076"/>
      <c r="Y86" s="1076"/>
      <c r="Z86" s="1076"/>
      <c r="AA86" s="1076"/>
      <c r="AB86" s="1076"/>
      <c r="AC86" s="1076"/>
      <c r="AD86" s="1076"/>
      <c r="AE86" s="1076"/>
      <c r="AF86" s="1076"/>
      <c r="AG86" s="1076"/>
      <c r="AH86" s="1076"/>
      <c r="AI86" s="1076"/>
      <c r="AJ86" s="1076"/>
      <c r="AK86" s="1076"/>
      <c r="AL86" s="1076"/>
      <c r="AM86" s="1076"/>
      <c r="AN86" s="1076"/>
      <c r="AO86" s="1076"/>
      <c r="AP86" s="1076"/>
      <c r="AQ86" s="1076"/>
      <c r="AR86" s="1076"/>
      <c r="AS86" s="1076"/>
      <c r="AT86" s="1076"/>
      <c r="AU86" s="1076"/>
      <c r="AV86" s="1076"/>
      <c r="AW86" s="1076"/>
      <c r="AX86" s="1076"/>
      <c r="AY86" s="1077"/>
    </row>
    <row r="87" spans="1:51">
      <c r="A87" s="1110" t="s">
        <v>4431</v>
      </c>
      <c r="B87" s="1111"/>
      <c r="C87" s="1111"/>
      <c r="D87" s="1111"/>
      <c r="E87" s="1111"/>
      <c r="F87" s="1111"/>
      <c r="G87" s="1111"/>
      <c r="H87" s="1111"/>
      <c r="I87" s="1111"/>
      <c r="J87" s="1111"/>
      <c r="K87" s="1111"/>
      <c r="L87" s="1111"/>
      <c r="M87" s="1111"/>
      <c r="N87" s="1111"/>
      <c r="O87" s="1111"/>
      <c r="P87" s="1111"/>
      <c r="Q87" s="1111"/>
      <c r="R87" s="1111"/>
      <c r="S87" s="1111"/>
      <c r="T87" s="1111"/>
      <c r="U87" s="1111"/>
      <c r="V87" s="1111"/>
      <c r="W87" s="1111"/>
      <c r="X87" s="1111"/>
      <c r="Y87" s="1111"/>
      <c r="Z87" s="1111"/>
      <c r="AA87" s="1111"/>
      <c r="AB87" s="1111"/>
      <c r="AC87" s="1111"/>
      <c r="AD87" s="1111"/>
      <c r="AE87" s="1111"/>
      <c r="AF87" s="1111"/>
      <c r="AG87" s="1111"/>
      <c r="AH87" s="1111"/>
      <c r="AI87" s="1111"/>
      <c r="AJ87" s="1111"/>
      <c r="AK87" s="1111"/>
      <c r="AL87" s="1111"/>
      <c r="AM87" s="1111"/>
      <c r="AN87" s="1111"/>
      <c r="AO87" s="1111"/>
      <c r="AP87" s="1111"/>
      <c r="AQ87" s="1111"/>
      <c r="AR87" s="1111"/>
      <c r="AS87" s="1111"/>
      <c r="AT87" s="1111"/>
      <c r="AU87" s="1111"/>
      <c r="AV87" s="1111"/>
      <c r="AW87" s="1111"/>
      <c r="AX87" s="1111"/>
      <c r="AY87" s="1112"/>
    </row>
    <row r="88" spans="1:51">
      <c r="A88" s="1084" t="s">
        <v>4432</v>
      </c>
      <c r="B88" s="1113"/>
      <c r="C88" s="1113"/>
      <c r="D88" s="1113"/>
      <c r="E88" s="1113"/>
      <c r="F88" s="1113"/>
      <c r="G88" s="1113"/>
      <c r="H88" s="1113"/>
      <c r="I88" s="1113"/>
      <c r="J88" s="1113"/>
      <c r="K88" s="1113"/>
      <c r="L88" s="1113"/>
      <c r="M88" s="1113"/>
      <c r="N88" s="1113"/>
      <c r="O88" s="1113"/>
      <c r="P88" s="1113"/>
      <c r="Q88" s="1113"/>
      <c r="R88" s="1113"/>
      <c r="S88" s="1113"/>
      <c r="T88" s="1113"/>
      <c r="U88" s="1113"/>
      <c r="V88" s="1113"/>
      <c r="W88" s="1113"/>
      <c r="X88" s="1113"/>
      <c r="Y88" s="1113"/>
      <c r="Z88" s="1113"/>
      <c r="AA88" s="1113"/>
      <c r="AB88" s="1113"/>
      <c r="AC88" s="1113"/>
      <c r="AD88" s="1113"/>
      <c r="AE88" s="1113"/>
      <c r="AF88" s="1113"/>
      <c r="AG88" s="1113"/>
      <c r="AH88" s="1113"/>
      <c r="AI88" s="1113"/>
      <c r="AJ88" s="1113"/>
      <c r="AK88" s="1113"/>
      <c r="AL88" s="1113"/>
      <c r="AM88" s="1113"/>
      <c r="AN88" s="1113"/>
      <c r="AO88" s="1113"/>
      <c r="AP88" s="1113"/>
      <c r="AQ88" s="1113"/>
      <c r="AR88" s="1113"/>
      <c r="AS88" s="1113"/>
      <c r="AT88" s="1113"/>
      <c r="AU88" s="1113"/>
      <c r="AV88" s="1113"/>
      <c r="AW88" s="1113"/>
      <c r="AX88" s="1113"/>
      <c r="AY88" s="1114"/>
    </row>
    <row r="89" spans="1:51">
      <c r="A89" s="1087" t="s">
        <v>4433</v>
      </c>
      <c r="B89" s="1088"/>
      <c r="C89" s="1088"/>
      <c r="D89" s="1088"/>
      <c r="E89" s="1088"/>
      <c r="F89" s="1088"/>
      <c r="G89" s="1088"/>
      <c r="H89" s="1088"/>
      <c r="I89" s="1088"/>
      <c r="J89" s="1088"/>
      <c r="K89" s="1088"/>
      <c r="L89" s="1088"/>
      <c r="M89" s="1088"/>
      <c r="N89" s="1088"/>
      <c r="O89" s="1088"/>
      <c r="P89" s="1088"/>
      <c r="Q89" s="1088"/>
      <c r="R89" s="1088"/>
      <c r="S89" s="1088"/>
      <c r="T89" s="1088"/>
      <c r="U89" s="1088"/>
      <c r="V89" s="1088"/>
      <c r="W89" s="1088"/>
      <c r="X89" s="1088"/>
      <c r="Y89" s="1088"/>
      <c r="Z89" s="1088"/>
      <c r="AA89" s="1088"/>
      <c r="AB89" s="1088"/>
      <c r="AC89" s="1088"/>
      <c r="AD89" s="1088"/>
      <c r="AE89" s="1088"/>
      <c r="AF89" s="1088"/>
      <c r="AG89" s="1088"/>
      <c r="AH89" s="1088"/>
      <c r="AI89" s="1088"/>
      <c r="AJ89" s="1088"/>
      <c r="AK89" s="1088"/>
      <c r="AL89" s="1088"/>
      <c r="AM89" s="1088"/>
      <c r="AN89" s="1088"/>
      <c r="AO89" s="1088"/>
      <c r="AP89" s="1088"/>
      <c r="AQ89" s="1088"/>
      <c r="AR89" s="1088"/>
      <c r="AS89" s="1088"/>
      <c r="AT89" s="1088"/>
      <c r="AU89" s="1088"/>
      <c r="AV89" s="1088"/>
      <c r="AW89" s="1088"/>
      <c r="AX89" s="1088"/>
      <c r="AY89" s="1089"/>
    </row>
    <row r="90" spans="1:51">
      <c r="A90" s="1084" t="s">
        <v>4434</v>
      </c>
      <c r="B90" s="1113"/>
      <c r="C90" s="1113"/>
      <c r="D90" s="1113"/>
      <c r="E90" s="1113"/>
      <c r="F90" s="1113"/>
      <c r="G90" s="1113"/>
      <c r="H90" s="1113"/>
      <c r="I90" s="1113"/>
      <c r="J90" s="1113"/>
      <c r="K90" s="1113"/>
      <c r="L90" s="1113"/>
      <c r="M90" s="1113"/>
      <c r="N90" s="1113"/>
      <c r="O90" s="1113"/>
      <c r="P90" s="1113"/>
      <c r="Q90" s="1113"/>
      <c r="R90" s="1113"/>
      <c r="S90" s="1113"/>
      <c r="T90" s="1113"/>
      <c r="U90" s="1113"/>
      <c r="V90" s="1113"/>
      <c r="W90" s="1113"/>
      <c r="X90" s="1113"/>
      <c r="Y90" s="1113"/>
      <c r="Z90" s="1113"/>
      <c r="AA90" s="1113"/>
      <c r="AB90" s="1113"/>
      <c r="AC90" s="1113"/>
      <c r="AD90" s="1113"/>
      <c r="AE90" s="1113"/>
      <c r="AF90" s="1113"/>
      <c r="AG90" s="1113"/>
      <c r="AH90" s="1113"/>
      <c r="AI90" s="1113"/>
      <c r="AJ90" s="1113"/>
      <c r="AK90" s="1113"/>
      <c r="AL90" s="1113"/>
      <c r="AM90" s="1113"/>
      <c r="AN90" s="1113"/>
      <c r="AO90" s="1113"/>
      <c r="AP90" s="1113"/>
      <c r="AQ90" s="1113"/>
      <c r="AR90" s="1113"/>
      <c r="AS90" s="1113"/>
      <c r="AT90" s="1113"/>
      <c r="AU90" s="1113"/>
      <c r="AV90" s="1113"/>
      <c r="AW90" s="1113"/>
      <c r="AX90" s="1113"/>
      <c r="AY90" s="1114"/>
    </row>
    <row r="91" spans="1:51">
      <c r="A91" s="1087" t="s">
        <v>4435</v>
      </c>
      <c r="B91" s="1088"/>
      <c r="C91" s="1088"/>
      <c r="D91" s="1088"/>
      <c r="E91" s="1088"/>
      <c r="F91" s="1088"/>
      <c r="G91" s="1088"/>
      <c r="H91" s="1088"/>
      <c r="I91" s="1088"/>
      <c r="J91" s="1088"/>
      <c r="K91" s="1088"/>
      <c r="L91" s="1088"/>
      <c r="M91" s="1088"/>
      <c r="N91" s="1088"/>
      <c r="O91" s="1088"/>
      <c r="P91" s="1088"/>
      <c r="Q91" s="1088"/>
      <c r="R91" s="1088"/>
      <c r="S91" s="1088"/>
      <c r="T91" s="1088"/>
      <c r="U91" s="1088"/>
      <c r="V91" s="1088"/>
      <c r="W91" s="1088"/>
      <c r="X91" s="1088"/>
      <c r="Y91" s="1088"/>
      <c r="Z91" s="1088"/>
      <c r="AA91" s="1088"/>
      <c r="AB91" s="1088"/>
      <c r="AC91" s="1088"/>
      <c r="AD91" s="1088"/>
      <c r="AE91" s="1088"/>
      <c r="AF91" s="1088"/>
      <c r="AG91" s="1088"/>
      <c r="AH91" s="1088"/>
      <c r="AI91" s="1088"/>
      <c r="AJ91" s="1088"/>
      <c r="AK91" s="1088"/>
      <c r="AL91" s="1088"/>
      <c r="AM91" s="1088"/>
      <c r="AN91" s="1088"/>
      <c r="AO91" s="1088"/>
      <c r="AP91" s="1088"/>
      <c r="AQ91" s="1088"/>
      <c r="AR91" s="1088"/>
      <c r="AS91" s="1088"/>
      <c r="AT91" s="1088"/>
      <c r="AU91" s="1088"/>
      <c r="AV91" s="1088"/>
      <c r="AW91" s="1088"/>
      <c r="AX91" s="1088"/>
      <c r="AY91" s="1089"/>
    </row>
    <row r="92" spans="1:51">
      <c r="A92" s="1084" t="s">
        <v>4436</v>
      </c>
      <c r="B92" s="1113"/>
      <c r="C92" s="1113"/>
      <c r="D92" s="1113"/>
      <c r="E92" s="1113"/>
      <c r="F92" s="1113"/>
      <c r="G92" s="1113"/>
      <c r="H92" s="1113"/>
      <c r="I92" s="1113"/>
      <c r="J92" s="1113"/>
      <c r="K92" s="1113"/>
      <c r="L92" s="1113"/>
      <c r="M92" s="1113"/>
      <c r="N92" s="1113"/>
      <c r="O92" s="1113"/>
      <c r="P92" s="1113"/>
      <c r="Q92" s="1113"/>
      <c r="R92" s="1113"/>
      <c r="S92" s="1113"/>
      <c r="T92" s="1113"/>
      <c r="U92" s="1113"/>
      <c r="V92" s="1113"/>
      <c r="W92" s="1113"/>
      <c r="X92" s="1113"/>
      <c r="Y92" s="1113"/>
      <c r="Z92" s="1113"/>
      <c r="AA92" s="1113"/>
      <c r="AB92" s="1113"/>
      <c r="AC92" s="1113"/>
      <c r="AD92" s="1113"/>
      <c r="AE92" s="1113"/>
      <c r="AF92" s="1113"/>
      <c r="AG92" s="1113"/>
      <c r="AH92" s="1113"/>
      <c r="AI92" s="1113"/>
      <c r="AJ92" s="1113"/>
      <c r="AK92" s="1113"/>
      <c r="AL92" s="1113"/>
      <c r="AM92" s="1113"/>
      <c r="AN92" s="1113"/>
      <c r="AO92" s="1113"/>
      <c r="AP92" s="1113"/>
      <c r="AQ92" s="1113"/>
      <c r="AR92" s="1113"/>
      <c r="AS92" s="1113"/>
      <c r="AT92" s="1113"/>
      <c r="AU92" s="1113"/>
      <c r="AV92" s="1113"/>
      <c r="AW92" s="1113"/>
      <c r="AX92" s="1113"/>
      <c r="AY92" s="1114"/>
    </row>
    <row r="93" spans="1:51">
      <c r="A93" s="1087" t="s">
        <v>4437</v>
      </c>
      <c r="B93" s="1088"/>
      <c r="C93" s="1088"/>
      <c r="D93" s="1088"/>
      <c r="E93" s="1088"/>
      <c r="F93" s="1088"/>
      <c r="G93" s="1088"/>
      <c r="H93" s="1088"/>
      <c r="I93" s="1088"/>
      <c r="J93" s="1088"/>
      <c r="K93" s="1088"/>
      <c r="L93" s="1088"/>
      <c r="M93" s="1088"/>
      <c r="N93" s="1088"/>
      <c r="O93" s="1088"/>
      <c r="P93" s="1088"/>
      <c r="Q93" s="1088"/>
      <c r="R93" s="1088"/>
      <c r="S93" s="1088"/>
      <c r="T93" s="1088"/>
      <c r="U93" s="1088"/>
      <c r="V93" s="1088"/>
      <c r="W93" s="1088"/>
      <c r="X93" s="1088"/>
      <c r="Y93" s="1088"/>
      <c r="Z93" s="1088"/>
      <c r="AA93" s="1088"/>
      <c r="AB93" s="1088"/>
      <c r="AC93" s="1088"/>
      <c r="AD93" s="1088"/>
      <c r="AE93" s="1088"/>
      <c r="AF93" s="1088"/>
      <c r="AG93" s="1088"/>
      <c r="AH93" s="1088"/>
      <c r="AI93" s="1088"/>
      <c r="AJ93" s="1088"/>
      <c r="AK93" s="1088"/>
      <c r="AL93" s="1088"/>
      <c r="AM93" s="1088"/>
      <c r="AN93" s="1088"/>
      <c r="AO93" s="1088"/>
      <c r="AP93" s="1088"/>
      <c r="AQ93" s="1088"/>
      <c r="AR93" s="1088"/>
      <c r="AS93" s="1088"/>
      <c r="AT93" s="1088"/>
      <c r="AU93" s="1088"/>
      <c r="AV93" s="1088"/>
      <c r="AW93" s="1088"/>
      <c r="AX93" s="1088"/>
      <c r="AY93" s="1089"/>
    </row>
    <row r="94" spans="1:51">
      <c r="A94" s="1084" t="s">
        <v>4438</v>
      </c>
      <c r="B94" s="1113"/>
      <c r="C94" s="1113"/>
      <c r="D94" s="1113"/>
      <c r="E94" s="1113"/>
      <c r="F94" s="1113"/>
      <c r="G94" s="1113"/>
      <c r="H94" s="1113"/>
      <c r="I94" s="1113"/>
      <c r="J94" s="1113"/>
      <c r="K94" s="1113"/>
      <c r="L94" s="1113"/>
      <c r="M94" s="1113"/>
      <c r="N94" s="1113"/>
      <c r="O94" s="1113"/>
      <c r="P94" s="1113"/>
      <c r="Q94" s="1113"/>
      <c r="R94" s="1113"/>
      <c r="S94" s="1113"/>
      <c r="T94" s="1113"/>
      <c r="U94" s="1113"/>
      <c r="V94" s="1113"/>
      <c r="W94" s="1113"/>
      <c r="X94" s="1113"/>
      <c r="Y94" s="1113"/>
      <c r="Z94" s="1113"/>
      <c r="AA94" s="1113"/>
      <c r="AB94" s="1113"/>
      <c r="AC94" s="1113"/>
      <c r="AD94" s="1113"/>
      <c r="AE94" s="1113"/>
      <c r="AF94" s="1113"/>
      <c r="AG94" s="1113"/>
      <c r="AH94" s="1113"/>
      <c r="AI94" s="1113"/>
      <c r="AJ94" s="1113"/>
      <c r="AK94" s="1113"/>
      <c r="AL94" s="1113"/>
      <c r="AM94" s="1113"/>
      <c r="AN94" s="1113"/>
      <c r="AO94" s="1113"/>
      <c r="AP94" s="1113"/>
      <c r="AQ94" s="1113"/>
      <c r="AR94" s="1113"/>
      <c r="AS94" s="1113"/>
      <c r="AT94" s="1113"/>
      <c r="AU94" s="1113"/>
      <c r="AV94" s="1113"/>
      <c r="AW94" s="1113"/>
      <c r="AX94" s="1113"/>
      <c r="AY94" s="1114"/>
    </row>
    <row r="95" spans="1:51">
      <c r="A95" s="1087" t="s">
        <v>4439</v>
      </c>
      <c r="B95" s="1088"/>
      <c r="C95" s="1088"/>
      <c r="D95" s="1088"/>
      <c r="E95" s="1088"/>
      <c r="F95" s="1088"/>
      <c r="G95" s="1088"/>
      <c r="H95" s="1088"/>
      <c r="I95" s="1088"/>
      <c r="J95" s="1088"/>
      <c r="K95" s="1088"/>
      <c r="L95" s="1088"/>
      <c r="M95" s="1088"/>
      <c r="N95" s="1088"/>
      <c r="O95" s="1088"/>
      <c r="P95" s="1088"/>
      <c r="Q95" s="1088"/>
      <c r="R95" s="1088"/>
      <c r="S95" s="1088"/>
      <c r="T95" s="1088"/>
      <c r="U95" s="1088"/>
      <c r="V95" s="1088"/>
      <c r="W95" s="1088"/>
      <c r="X95" s="1088"/>
      <c r="Y95" s="1088"/>
      <c r="Z95" s="1088"/>
      <c r="AA95" s="1088"/>
      <c r="AB95" s="1088"/>
      <c r="AC95" s="1088"/>
      <c r="AD95" s="1088"/>
      <c r="AE95" s="1088"/>
      <c r="AF95" s="1088"/>
      <c r="AG95" s="1088"/>
      <c r="AH95" s="1088"/>
      <c r="AI95" s="1088"/>
      <c r="AJ95" s="1088"/>
      <c r="AK95" s="1088"/>
      <c r="AL95" s="1088"/>
      <c r="AM95" s="1088"/>
      <c r="AN95" s="1088"/>
      <c r="AO95" s="1088"/>
      <c r="AP95" s="1088"/>
      <c r="AQ95" s="1088"/>
      <c r="AR95" s="1088"/>
      <c r="AS95" s="1088"/>
      <c r="AT95" s="1088"/>
      <c r="AU95" s="1088"/>
      <c r="AV95" s="1088"/>
      <c r="AW95" s="1088"/>
      <c r="AX95" s="1088"/>
      <c r="AY95" s="1089"/>
    </row>
    <row r="96" spans="1:51">
      <c r="A96" s="1084" t="s">
        <v>4440</v>
      </c>
      <c r="B96" s="1113"/>
      <c r="C96" s="1113"/>
      <c r="D96" s="1113"/>
      <c r="E96" s="1113"/>
      <c r="F96" s="1113"/>
      <c r="G96" s="1113"/>
      <c r="H96" s="1113"/>
      <c r="I96" s="1113"/>
      <c r="J96" s="1113"/>
      <c r="K96" s="1113"/>
      <c r="L96" s="1113"/>
      <c r="M96" s="1113"/>
      <c r="N96" s="1113"/>
      <c r="O96" s="1113"/>
      <c r="P96" s="1113"/>
      <c r="Q96" s="1113"/>
      <c r="R96" s="1113"/>
      <c r="S96" s="1113"/>
      <c r="T96" s="1113"/>
      <c r="U96" s="1113"/>
      <c r="V96" s="1113"/>
      <c r="W96" s="1113"/>
      <c r="X96" s="1113"/>
      <c r="Y96" s="1113"/>
      <c r="Z96" s="1113"/>
      <c r="AA96" s="1113"/>
      <c r="AB96" s="1113"/>
      <c r="AC96" s="1113"/>
      <c r="AD96" s="1113"/>
      <c r="AE96" s="1113"/>
      <c r="AF96" s="1113"/>
      <c r="AG96" s="1113"/>
      <c r="AH96" s="1113"/>
      <c r="AI96" s="1113"/>
      <c r="AJ96" s="1113"/>
      <c r="AK96" s="1113"/>
      <c r="AL96" s="1113"/>
      <c r="AM96" s="1113"/>
      <c r="AN96" s="1113"/>
      <c r="AO96" s="1113"/>
      <c r="AP96" s="1113"/>
      <c r="AQ96" s="1113"/>
      <c r="AR96" s="1113"/>
      <c r="AS96" s="1113"/>
      <c r="AT96" s="1113"/>
      <c r="AU96" s="1113"/>
      <c r="AV96" s="1113"/>
      <c r="AW96" s="1113"/>
      <c r="AX96" s="1113"/>
      <c r="AY96" s="1114"/>
    </row>
    <row r="97" spans="1:51">
      <c r="A97" s="1087" t="s">
        <v>4441</v>
      </c>
      <c r="B97" s="1088"/>
      <c r="C97" s="1088"/>
      <c r="D97" s="1088"/>
      <c r="E97" s="1088"/>
      <c r="F97" s="1088"/>
      <c r="G97" s="1088"/>
      <c r="H97" s="1088"/>
      <c r="I97" s="1088"/>
      <c r="J97" s="1088"/>
      <c r="K97" s="1088"/>
      <c r="L97" s="1088"/>
      <c r="M97" s="1088"/>
      <c r="N97" s="1088"/>
      <c r="O97" s="1088"/>
      <c r="P97" s="1088"/>
      <c r="Q97" s="1088"/>
      <c r="R97" s="1088"/>
      <c r="S97" s="1088"/>
      <c r="T97" s="1088"/>
      <c r="U97" s="1088"/>
      <c r="V97" s="1088"/>
      <c r="W97" s="1088"/>
      <c r="X97" s="1088"/>
      <c r="Y97" s="1088"/>
      <c r="Z97" s="1088"/>
      <c r="AA97" s="1088"/>
      <c r="AB97" s="1088"/>
      <c r="AC97" s="1088"/>
      <c r="AD97" s="1088"/>
      <c r="AE97" s="1088"/>
      <c r="AF97" s="1088"/>
      <c r="AG97" s="1088"/>
      <c r="AH97" s="1088"/>
      <c r="AI97" s="1088"/>
      <c r="AJ97" s="1088"/>
      <c r="AK97" s="1088"/>
      <c r="AL97" s="1088"/>
      <c r="AM97" s="1088"/>
      <c r="AN97" s="1088"/>
      <c r="AO97" s="1088"/>
      <c r="AP97" s="1088"/>
      <c r="AQ97" s="1088"/>
      <c r="AR97" s="1088"/>
      <c r="AS97" s="1088"/>
      <c r="AT97" s="1088"/>
      <c r="AU97" s="1088"/>
      <c r="AV97" s="1088"/>
      <c r="AW97" s="1088"/>
      <c r="AX97" s="1088"/>
      <c r="AY97" s="1089"/>
    </row>
    <row r="98" spans="1:51">
      <c r="A98" s="1084" t="s">
        <v>4442</v>
      </c>
      <c r="B98" s="1113"/>
      <c r="C98" s="1113"/>
      <c r="D98" s="1113"/>
      <c r="E98" s="1113"/>
      <c r="F98" s="1113"/>
      <c r="G98" s="1113"/>
      <c r="H98" s="1113"/>
      <c r="I98" s="1113"/>
      <c r="J98" s="1113"/>
      <c r="K98" s="1113"/>
      <c r="L98" s="1113"/>
      <c r="M98" s="1113"/>
      <c r="N98" s="1113"/>
      <c r="O98" s="1113"/>
      <c r="P98" s="1113"/>
      <c r="Q98" s="1113"/>
      <c r="R98" s="1113"/>
      <c r="S98" s="1113"/>
      <c r="T98" s="1113"/>
      <c r="U98" s="1113"/>
      <c r="V98" s="1113"/>
      <c r="W98" s="1113"/>
      <c r="X98" s="1113"/>
      <c r="Y98" s="1113"/>
      <c r="Z98" s="1113"/>
      <c r="AA98" s="1113"/>
      <c r="AB98" s="1113"/>
      <c r="AC98" s="1113"/>
      <c r="AD98" s="1113"/>
      <c r="AE98" s="1113"/>
      <c r="AF98" s="1113"/>
      <c r="AG98" s="1113"/>
      <c r="AH98" s="1113"/>
      <c r="AI98" s="1113"/>
      <c r="AJ98" s="1113"/>
      <c r="AK98" s="1113"/>
      <c r="AL98" s="1113"/>
      <c r="AM98" s="1113"/>
      <c r="AN98" s="1113"/>
      <c r="AO98" s="1113"/>
      <c r="AP98" s="1113"/>
      <c r="AQ98" s="1113"/>
      <c r="AR98" s="1113"/>
      <c r="AS98" s="1113"/>
      <c r="AT98" s="1113"/>
      <c r="AU98" s="1113"/>
      <c r="AV98" s="1113"/>
      <c r="AW98" s="1113"/>
      <c r="AX98" s="1113"/>
      <c r="AY98" s="1114"/>
    </row>
    <row r="99" spans="1:51">
      <c r="A99" s="1087" t="s">
        <v>4443</v>
      </c>
      <c r="B99" s="1088"/>
      <c r="C99" s="1088"/>
      <c r="D99" s="1088"/>
      <c r="E99" s="1088"/>
      <c r="F99" s="1088"/>
      <c r="G99" s="1088"/>
      <c r="H99" s="1088"/>
      <c r="I99" s="1088"/>
      <c r="J99" s="1088"/>
      <c r="K99" s="1088"/>
      <c r="L99" s="1088"/>
      <c r="M99" s="1088"/>
      <c r="N99" s="1088"/>
      <c r="O99" s="1088"/>
      <c r="P99" s="1088"/>
      <c r="Q99" s="1088"/>
      <c r="R99" s="1088"/>
      <c r="S99" s="1088"/>
      <c r="T99" s="1088"/>
      <c r="U99" s="1088"/>
      <c r="V99" s="1088"/>
      <c r="W99" s="1088"/>
      <c r="X99" s="1088"/>
      <c r="Y99" s="1088"/>
      <c r="Z99" s="1088"/>
      <c r="AA99" s="1088"/>
      <c r="AB99" s="1088"/>
      <c r="AC99" s="1088"/>
      <c r="AD99" s="1088"/>
      <c r="AE99" s="1088"/>
      <c r="AF99" s="1088"/>
      <c r="AG99" s="1088"/>
      <c r="AH99" s="1088"/>
      <c r="AI99" s="1088"/>
      <c r="AJ99" s="1088"/>
      <c r="AK99" s="1088"/>
      <c r="AL99" s="1088"/>
      <c r="AM99" s="1088"/>
      <c r="AN99" s="1088"/>
      <c r="AO99" s="1088"/>
      <c r="AP99" s="1088"/>
      <c r="AQ99" s="1088"/>
      <c r="AR99" s="1088"/>
      <c r="AS99" s="1088"/>
      <c r="AT99" s="1088"/>
      <c r="AU99" s="1088"/>
      <c r="AV99" s="1088"/>
      <c r="AW99" s="1088"/>
      <c r="AX99" s="1088"/>
      <c r="AY99" s="1089"/>
    </row>
    <row r="100" spans="1:51">
      <c r="A100" s="1084" t="s">
        <v>4444</v>
      </c>
      <c r="B100" s="1113"/>
      <c r="C100" s="1113"/>
      <c r="D100" s="1113"/>
      <c r="E100" s="1113"/>
      <c r="F100" s="1113"/>
      <c r="G100" s="1113"/>
      <c r="H100" s="1113"/>
      <c r="I100" s="1113"/>
      <c r="J100" s="1113"/>
      <c r="K100" s="1113"/>
      <c r="L100" s="1113"/>
      <c r="M100" s="1113"/>
      <c r="N100" s="1113"/>
      <c r="O100" s="1113"/>
      <c r="P100" s="1113"/>
      <c r="Q100" s="1113"/>
      <c r="R100" s="1113"/>
      <c r="S100" s="1113"/>
      <c r="T100" s="1113"/>
      <c r="U100" s="1113"/>
      <c r="V100" s="1113"/>
      <c r="W100" s="1113"/>
      <c r="X100" s="1113"/>
      <c r="Y100" s="1113"/>
      <c r="Z100" s="1113"/>
      <c r="AA100" s="1113"/>
      <c r="AB100" s="1113"/>
      <c r="AC100" s="1113"/>
      <c r="AD100" s="1113"/>
      <c r="AE100" s="1113"/>
      <c r="AF100" s="1113"/>
      <c r="AG100" s="1113"/>
      <c r="AH100" s="1113"/>
      <c r="AI100" s="1113"/>
      <c r="AJ100" s="1113"/>
      <c r="AK100" s="1113"/>
      <c r="AL100" s="1113"/>
      <c r="AM100" s="1113"/>
      <c r="AN100" s="1113"/>
      <c r="AO100" s="1113"/>
      <c r="AP100" s="1113"/>
      <c r="AQ100" s="1113"/>
      <c r="AR100" s="1113"/>
      <c r="AS100" s="1113"/>
      <c r="AT100" s="1113"/>
      <c r="AU100" s="1113"/>
      <c r="AV100" s="1113"/>
      <c r="AW100" s="1113"/>
      <c r="AX100" s="1113"/>
      <c r="AY100" s="1114"/>
    </row>
    <row r="101" spans="1:51">
      <c r="A101" s="1087" t="s">
        <v>4445</v>
      </c>
      <c r="B101" s="1088"/>
      <c r="C101" s="1088"/>
      <c r="D101" s="1088"/>
      <c r="E101" s="1088"/>
      <c r="F101" s="1088"/>
      <c r="G101" s="1088"/>
      <c r="H101" s="1088"/>
      <c r="I101" s="1088"/>
      <c r="J101" s="1088"/>
      <c r="K101" s="1088"/>
      <c r="L101" s="1088"/>
      <c r="M101" s="1088"/>
      <c r="N101" s="1088"/>
      <c r="O101" s="1088"/>
      <c r="P101" s="1088"/>
      <c r="Q101" s="1088"/>
      <c r="R101" s="1088"/>
      <c r="S101" s="1088"/>
      <c r="T101" s="1088"/>
      <c r="U101" s="1088"/>
      <c r="V101" s="1088"/>
      <c r="W101" s="1088"/>
      <c r="X101" s="1088"/>
      <c r="Y101" s="1088"/>
      <c r="Z101" s="1088"/>
      <c r="AA101" s="1088"/>
      <c r="AB101" s="1088"/>
      <c r="AC101" s="1088"/>
      <c r="AD101" s="1088"/>
      <c r="AE101" s="1088"/>
      <c r="AF101" s="1088"/>
      <c r="AG101" s="1088"/>
      <c r="AH101" s="1088"/>
      <c r="AI101" s="1088"/>
      <c r="AJ101" s="1088"/>
      <c r="AK101" s="1088"/>
      <c r="AL101" s="1088"/>
      <c r="AM101" s="1088"/>
      <c r="AN101" s="1088"/>
      <c r="AO101" s="1088"/>
      <c r="AP101" s="1088"/>
      <c r="AQ101" s="1088"/>
      <c r="AR101" s="1088"/>
      <c r="AS101" s="1088"/>
      <c r="AT101" s="1088"/>
      <c r="AU101" s="1088"/>
      <c r="AV101" s="1088"/>
      <c r="AW101" s="1088"/>
      <c r="AX101" s="1088"/>
      <c r="AY101" s="1089"/>
    </row>
    <row r="102" spans="1:51">
      <c r="A102" s="1084" t="s">
        <v>4446</v>
      </c>
      <c r="B102" s="1113"/>
      <c r="C102" s="1113"/>
      <c r="D102" s="1113"/>
      <c r="E102" s="1113"/>
      <c r="F102" s="1113"/>
      <c r="G102" s="1113"/>
      <c r="H102" s="1113"/>
      <c r="I102" s="1113"/>
      <c r="J102" s="1113"/>
      <c r="K102" s="1113"/>
      <c r="L102" s="1113"/>
      <c r="M102" s="1113"/>
      <c r="N102" s="1113"/>
      <c r="O102" s="1113"/>
      <c r="P102" s="1113"/>
      <c r="Q102" s="1113"/>
      <c r="R102" s="1113"/>
      <c r="S102" s="1113"/>
      <c r="T102" s="1113"/>
      <c r="U102" s="1113"/>
      <c r="V102" s="1113"/>
      <c r="W102" s="1113"/>
      <c r="X102" s="1113"/>
      <c r="Y102" s="1113"/>
      <c r="Z102" s="1113"/>
      <c r="AA102" s="1113"/>
      <c r="AB102" s="1113"/>
      <c r="AC102" s="1113"/>
      <c r="AD102" s="1113"/>
      <c r="AE102" s="1113"/>
      <c r="AF102" s="1113"/>
      <c r="AG102" s="1113"/>
      <c r="AH102" s="1113"/>
      <c r="AI102" s="1113"/>
      <c r="AJ102" s="1113"/>
      <c r="AK102" s="1113"/>
      <c r="AL102" s="1113"/>
      <c r="AM102" s="1113"/>
      <c r="AN102" s="1113"/>
      <c r="AO102" s="1113"/>
      <c r="AP102" s="1113"/>
      <c r="AQ102" s="1113"/>
      <c r="AR102" s="1113"/>
      <c r="AS102" s="1113"/>
      <c r="AT102" s="1113"/>
      <c r="AU102" s="1113"/>
      <c r="AV102" s="1113"/>
      <c r="AW102" s="1113"/>
      <c r="AX102" s="1113"/>
      <c r="AY102" s="1114"/>
    </row>
    <row r="103" spans="1:51">
      <c r="A103" s="1087" t="s">
        <v>4447</v>
      </c>
      <c r="B103" s="1088"/>
      <c r="C103" s="1088"/>
      <c r="D103" s="1088"/>
      <c r="E103" s="1088"/>
      <c r="F103" s="1088"/>
      <c r="G103" s="1088"/>
      <c r="H103" s="1088"/>
      <c r="I103" s="1088"/>
      <c r="J103" s="1088"/>
      <c r="K103" s="1088"/>
      <c r="L103" s="1088"/>
      <c r="M103" s="1088"/>
      <c r="N103" s="1088"/>
      <c r="O103" s="1088"/>
      <c r="P103" s="1088"/>
      <c r="Q103" s="1088"/>
      <c r="R103" s="1088"/>
      <c r="S103" s="1088"/>
      <c r="T103" s="1088"/>
      <c r="U103" s="1088"/>
      <c r="V103" s="1088"/>
      <c r="W103" s="1088"/>
      <c r="X103" s="1088"/>
      <c r="Y103" s="1088"/>
      <c r="Z103" s="1088"/>
      <c r="AA103" s="1088"/>
      <c r="AB103" s="1088"/>
      <c r="AC103" s="1088"/>
      <c r="AD103" s="1088"/>
      <c r="AE103" s="1088"/>
      <c r="AF103" s="1088"/>
      <c r="AG103" s="1088"/>
      <c r="AH103" s="1088"/>
      <c r="AI103" s="1088"/>
      <c r="AJ103" s="1088"/>
      <c r="AK103" s="1088"/>
      <c r="AL103" s="1088"/>
      <c r="AM103" s="1088"/>
      <c r="AN103" s="1088"/>
      <c r="AO103" s="1088"/>
      <c r="AP103" s="1088"/>
      <c r="AQ103" s="1088"/>
      <c r="AR103" s="1088"/>
      <c r="AS103" s="1088"/>
      <c r="AT103" s="1088"/>
      <c r="AU103" s="1088"/>
      <c r="AV103" s="1088"/>
      <c r="AW103" s="1088"/>
      <c r="AX103" s="1088"/>
      <c r="AY103" s="1089"/>
    </row>
    <row r="104" spans="1:51">
      <c r="A104" s="1084" t="s">
        <v>4448</v>
      </c>
      <c r="B104" s="1113"/>
      <c r="C104" s="1113"/>
      <c r="D104" s="1113"/>
      <c r="E104" s="1113"/>
      <c r="F104" s="1113"/>
      <c r="G104" s="1113"/>
      <c r="H104" s="1113"/>
      <c r="I104" s="1113"/>
      <c r="J104" s="1113"/>
      <c r="K104" s="1113"/>
      <c r="L104" s="1113"/>
      <c r="M104" s="1113"/>
      <c r="N104" s="1113"/>
      <c r="O104" s="1113"/>
      <c r="P104" s="1113"/>
      <c r="Q104" s="1113"/>
      <c r="R104" s="1113"/>
      <c r="S104" s="1113"/>
      <c r="T104" s="1113"/>
      <c r="U104" s="1113"/>
      <c r="V104" s="1113"/>
      <c r="W104" s="1113"/>
      <c r="X104" s="1113"/>
      <c r="Y104" s="1113"/>
      <c r="Z104" s="1113"/>
      <c r="AA104" s="1113"/>
      <c r="AB104" s="1113"/>
      <c r="AC104" s="1113"/>
      <c r="AD104" s="1113"/>
      <c r="AE104" s="1113"/>
      <c r="AF104" s="1113"/>
      <c r="AG104" s="1113"/>
      <c r="AH104" s="1113"/>
      <c r="AI104" s="1113"/>
      <c r="AJ104" s="1113"/>
      <c r="AK104" s="1113"/>
      <c r="AL104" s="1113"/>
      <c r="AM104" s="1113"/>
      <c r="AN104" s="1113"/>
      <c r="AO104" s="1113"/>
      <c r="AP104" s="1113"/>
      <c r="AQ104" s="1113"/>
      <c r="AR104" s="1113"/>
      <c r="AS104" s="1113"/>
      <c r="AT104" s="1113"/>
      <c r="AU104" s="1113"/>
      <c r="AV104" s="1113"/>
      <c r="AW104" s="1113"/>
      <c r="AX104" s="1113"/>
      <c r="AY104" s="1114"/>
    </row>
    <row r="105" spans="1:51">
      <c r="A105" s="1087" t="s">
        <v>4449</v>
      </c>
      <c r="B105" s="1088"/>
      <c r="C105" s="1088"/>
      <c r="D105" s="1088"/>
      <c r="E105" s="1088"/>
      <c r="F105" s="1088"/>
      <c r="G105" s="1088"/>
      <c r="H105" s="1088"/>
      <c r="I105" s="1088"/>
      <c r="J105" s="1088"/>
      <c r="K105" s="1088"/>
      <c r="L105" s="1088"/>
      <c r="M105" s="1088"/>
      <c r="N105" s="1088"/>
      <c r="O105" s="1088"/>
      <c r="P105" s="1088"/>
      <c r="Q105" s="1088"/>
      <c r="R105" s="1088"/>
      <c r="S105" s="1088"/>
      <c r="T105" s="1088"/>
      <c r="U105" s="1088"/>
      <c r="V105" s="1088"/>
      <c r="W105" s="1088"/>
      <c r="X105" s="1088"/>
      <c r="Y105" s="1088"/>
      <c r="Z105" s="1088"/>
      <c r="AA105" s="1088"/>
      <c r="AB105" s="1088"/>
      <c r="AC105" s="1088"/>
      <c r="AD105" s="1088"/>
      <c r="AE105" s="1088"/>
      <c r="AF105" s="1088"/>
      <c r="AG105" s="1088"/>
      <c r="AH105" s="1088"/>
      <c r="AI105" s="1088"/>
      <c r="AJ105" s="1088"/>
      <c r="AK105" s="1088"/>
      <c r="AL105" s="1088"/>
      <c r="AM105" s="1088"/>
      <c r="AN105" s="1088"/>
      <c r="AO105" s="1088"/>
      <c r="AP105" s="1088"/>
      <c r="AQ105" s="1088"/>
      <c r="AR105" s="1088"/>
      <c r="AS105" s="1088"/>
      <c r="AT105" s="1088"/>
      <c r="AU105" s="1088"/>
      <c r="AV105" s="1088"/>
      <c r="AW105" s="1088"/>
      <c r="AX105" s="1088"/>
      <c r="AY105" s="1089"/>
    </row>
    <row r="106" spans="1:51">
      <c r="A106" s="1084" t="s">
        <v>4450</v>
      </c>
      <c r="B106" s="1113"/>
      <c r="C106" s="1113"/>
      <c r="D106" s="1113"/>
      <c r="E106" s="1113"/>
      <c r="F106" s="1113"/>
      <c r="G106" s="1113"/>
      <c r="H106" s="1113"/>
      <c r="I106" s="1113"/>
      <c r="J106" s="1113"/>
      <c r="K106" s="1113"/>
      <c r="L106" s="1113"/>
      <c r="M106" s="1113"/>
      <c r="N106" s="1113"/>
      <c r="O106" s="1113"/>
      <c r="P106" s="1113"/>
      <c r="Q106" s="1113"/>
      <c r="R106" s="1113"/>
      <c r="S106" s="1113"/>
      <c r="T106" s="1113"/>
      <c r="U106" s="1113"/>
      <c r="V106" s="1113"/>
      <c r="W106" s="1113"/>
      <c r="X106" s="1113"/>
      <c r="Y106" s="1113"/>
      <c r="Z106" s="1113"/>
      <c r="AA106" s="1113"/>
      <c r="AB106" s="1113"/>
      <c r="AC106" s="1113"/>
      <c r="AD106" s="1113"/>
      <c r="AE106" s="1113"/>
      <c r="AF106" s="1113"/>
      <c r="AG106" s="1113"/>
      <c r="AH106" s="1113"/>
      <c r="AI106" s="1113"/>
      <c r="AJ106" s="1113"/>
      <c r="AK106" s="1113"/>
      <c r="AL106" s="1113"/>
      <c r="AM106" s="1113"/>
      <c r="AN106" s="1113"/>
      <c r="AO106" s="1113"/>
      <c r="AP106" s="1113"/>
      <c r="AQ106" s="1113"/>
      <c r="AR106" s="1113"/>
      <c r="AS106" s="1113"/>
      <c r="AT106" s="1113"/>
      <c r="AU106" s="1113"/>
      <c r="AV106" s="1113"/>
      <c r="AW106" s="1113"/>
      <c r="AX106" s="1113"/>
      <c r="AY106" s="1114"/>
    </row>
    <row r="107" spans="1:51">
      <c r="A107" s="1115" t="s">
        <v>4451</v>
      </c>
      <c r="B107" s="1108"/>
      <c r="C107" s="1108"/>
      <c r="D107" s="1108"/>
      <c r="E107" s="1108"/>
      <c r="F107" s="1108"/>
      <c r="G107" s="1108"/>
      <c r="H107" s="1108"/>
      <c r="I107" s="1108"/>
      <c r="J107" s="1108"/>
      <c r="K107" s="1108"/>
      <c r="L107" s="1108"/>
      <c r="M107" s="1108"/>
      <c r="N107" s="1108"/>
      <c r="O107" s="1108"/>
      <c r="P107" s="1108"/>
      <c r="Q107" s="1108"/>
      <c r="R107" s="1108"/>
      <c r="S107" s="1108"/>
      <c r="T107" s="1108"/>
      <c r="U107" s="1108"/>
      <c r="V107" s="1108"/>
      <c r="W107" s="1108"/>
      <c r="X107" s="1108"/>
      <c r="Y107" s="1108"/>
      <c r="Z107" s="1108"/>
      <c r="AA107" s="1108"/>
      <c r="AB107" s="1108"/>
      <c r="AC107" s="1108"/>
      <c r="AD107" s="1108"/>
      <c r="AE107" s="1108"/>
      <c r="AF107" s="1108"/>
      <c r="AG107" s="1108"/>
      <c r="AH107" s="1108"/>
      <c r="AI107" s="1108"/>
      <c r="AJ107" s="1108"/>
      <c r="AK107" s="1108"/>
      <c r="AL107" s="1108"/>
      <c r="AM107" s="1108"/>
      <c r="AN107" s="1108"/>
      <c r="AO107" s="1108"/>
      <c r="AP107" s="1108"/>
      <c r="AQ107" s="1108"/>
      <c r="AR107" s="1108"/>
      <c r="AS107" s="1108"/>
      <c r="AT107" s="1108"/>
      <c r="AU107" s="1108"/>
      <c r="AV107" s="1108"/>
      <c r="AW107" s="1108"/>
      <c r="AX107" s="1108"/>
      <c r="AY107" s="1109"/>
    </row>
    <row r="108" spans="1:51" ht="15" thickBot="1">
      <c r="A108" s="1116" t="s">
        <v>4452</v>
      </c>
      <c r="B108" s="1117"/>
      <c r="C108" s="1117"/>
      <c r="D108" s="1117"/>
      <c r="E108" s="1117"/>
      <c r="F108" s="1117"/>
      <c r="G108" s="1117"/>
      <c r="H108" s="1117"/>
      <c r="I108" s="1117"/>
      <c r="J108" s="1117"/>
      <c r="K108" s="1117"/>
      <c r="L108" s="1117"/>
      <c r="M108" s="1117"/>
      <c r="N108" s="1117"/>
      <c r="O108" s="1117"/>
      <c r="P108" s="1117"/>
      <c r="Q108" s="1117"/>
      <c r="R108" s="1117"/>
      <c r="S108" s="1117"/>
      <c r="T108" s="1117"/>
      <c r="U108" s="1117"/>
      <c r="V108" s="1117"/>
      <c r="W108" s="1117"/>
      <c r="X108" s="1117"/>
      <c r="Y108" s="1117"/>
      <c r="Z108" s="1117"/>
      <c r="AA108" s="1117"/>
      <c r="AB108" s="1117"/>
      <c r="AC108" s="1117"/>
      <c r="AD108" s="1117"/>
      <c r="AE108" s="1117"/>
      <c r="AF108" s="1117"/>
      <c r="AG108" s="1117"/>
      <c r="AH108" s="1117"/>
      <c r="AI108" s="1117"/>
      <c r="AJ108" s="1117"/>
      <c r="AK108" s="1117"/>
      <c r="AL108" s="1117"/>
      <c r="AM108" s="1117"/>
      <c r="AN108" s="1117"/>
      <c r="AO108" s="1117"/>
      <c r="AP108" s="1117"/>
      <c r="AQ108" s="1117"/>
      <c r="AR108" s="1117"/>
      <c r="AS108" s="1117"/>
      <c r="AT108" s="1117"/>
      <c r="AU108" s="1117"/>
      <c r="AV108" s="1117"/>
      <c r="AW108" s="1117"/>
      <c r="AX108" s="1117"/>
      <c r="AY108" s="1118"/>
    </row>
  </sheetData>
  <sheetProtection algorithmName="SHA-512" hashValue="BVa9LFyYtXd53njOaz/jMRbJu6IuptMl1mFZBhs7/MJmF0rCMe5TtEW/WHvLaLK4ovYBJoBM/pRtHSPoWycrqQ==" saltValue="HozNlpa65d8KXueSRmErYQ==" spinCount="100000" sheet="1" objects="1" scenarios="1" formatColumns="0" formatRows="0" insertRows="0"/>
  <mergeCells count="46">
    <mergeCell ref="A105:AY105"/>
    <mergeCell ref="A106:AY106"/>
    <mergeCell ref="A107:AY107"/>
    <mergeCell ref="A108:AY108"/>
    <mergeCell ref="A100:AY100"/>
    <mergeCell ref="A101:AY101"/>
    <mergeCell ref="A102:AY102"/>
    <mergeCell ref="A103:AY103"/>
    <mergeCell ref="A104:AY104"/>
    <mergeCell ref="A95:AY95"/>
    <mergeCell ref="A96:AY96"/>
    <mergeCell ref="A97:AY97"/>
    <mergeCell ref="A98:AY98"/>
    <mergeCell ref="A99:AY99"/>
    <mergeCell ref="A90:AY90"/>
    <mergeCell ref="A91:AY91"/>
    <mergeCell ref="A92:AY92"/>
    <mergeCell ref="A93:AY93"/>
    <mergeCell ref="A94:AY94"/>
    <mergeCell ref="A85:AY85"/>
    <mergeCell ref="A86:AY86"/>
    <mergeCell ref="A87:AY87"/>
    <mergeCell ref="A88:AY88"/>
    <mergeCell ref="A89:AY89"/>
    <mergeCell ref="A67:AY67"/>
    <mergeCell ref="A68:AY68"/>
    <mergeCell ref="A65:AY65"/>
    <mergeCell ref="A66:AY66"/>
    <mergeCell ref="A62:AY62"/>
    <mergeCell ref="A63:AY63"/>
    <mergeCell ref="A64:AY64"/>
    <mergeCell ref="A83:AY83"/>
    <mergeCell ref="A82:AY82"/>
    <mergeCell ref="A81:AY81"/>
    <mergeCell ref="A80:AY80"/>
    <mergeCell ref="A79:AY79"/>
    <mergeCell ref="A78:AY78"/>
    <mergeCell ref="A77:AY77"/>
    <mergeCell ref="A76:AY76"/>
    <mergeCell ref="A69:AY69"/>
    <mergeCell ref="A70:AY70"/>
    <mergeCell ref="A71:AY71"/>
    <mergeCell ref="A74:AY74"/>
    <mergeCell ref="A75:AY75"/>
    <mergeCell ref="A72:AY72"/>
    <mergeCell ref="A73:AY73"/>
  </mergeCells>
  <conditionalFormatting sqref="A52:A65">
    <cfRule type="expression" dxfId="1" priority="4">
      <formula>OR($B$8="Liquid", $B$8="Gas")</formula>
    </cfRule>
  </conditionalFormatting>
  <conditionalFormatting sqref="B52:F61">
    <cfRule type="expression" dxfId="0" priority="1">
      <formula>OR($B$8="Liquid", $B$8="Gas")</formula>
    </cfRule>
  </conditionalFormatting>
  <dataValidations count="10">
    <dataValidation type="decimal" operator="equal" allowBlank="1" showInputMessage="1" showErrorMessage="1" sqref="D40:D61 C2:C61 E12:E61 D2:D5 E2:E10 D7:D30 D33:D38">
      <formula1>C2</formula1>
    </dataValidation>
    <dataValidation type="decimal" operator="equal" allowBlank="1" showInputMessage="1" showErrorMessage="1" prompt="Typical Density values range from 1,01 to 1,06. The typical value in the table is the average of this range" sqref="D6">
      <formula1>D6</formula1>
    </dataValidation>
    <dataValidation type="decimal" operator="equal" allowBlank="1" showInputMessage="1" showErrorMessage="1" prompt="Typical Density values range from 0,45 to 0,50. The typical value in the table is the average of this range" sqref="E11">
      <formula1>E11</formula1>
    </dataValidation>
    <dataValidation type="decimal" operator="equal" allowBlank="1" showInputMessage="1" showErrorMessage="1" prompt="Typical Density values range from 0,70 to 0,95. The typical value in the table is the average of this range" sqref="D39">
      <formula1>D39</formula1>
    </dataValidation>
    <dataValidation type="list" allowBlank="1" showInputMessage="1" showErrorMessage="1" sqref="B2:B61">
      <formula1>enum_ListStateOfMatter</formula1>
    </dataValidation>
    <dataValidation type="list" allowBlank="1" showInputMessage="1" showErrorMessage="1" sqref="F2:F61">
      <formula1>enum_ListRenewabilityState</formula1>
    </dataValidation>
    <dataValidation allowBlank="1" showInputMessage="1" showErrorMessage="1" prompt="Distillates: distillate oil, distllate fuel oil No.1, distllate fuel No.2 and distllate fuel No.4" sqref="A13"/>
    <dataValidation allowBlank="1" showInputMessage="1" showErrorMessage="1" prompt="Isomers: isobutane and n-butane" sqref="A9"/>
    <dataValidation type="decimal" operator="equal" allowBlank="1" showInputMessage="1" showErrorMessage="1" prompt="Typical Density values range from 0,90 to 1,00. The typical value in the table is the average of this range" sqref="D31">
      <formula1>D31</formula1>
    </dataValidation>
    <dataValidation type="decimal" operator="equal" allowBlank="1" showInputMessage="1" showErrorMessage="1" prompt="Typical Density values range from 1,00 to 1,26. The typical value in the table is the average of this range" sqref="D32">
      <formula1>D32</formula1>
    </dataValidation>
  </dataValidations>
  <hyperlinks>
    <hyperlink ref="A64:AY64" r:id="rId1" display="Available at: https://cdn.cdp.net/cdp-production/cms/guidance_docs/pdfs/000/000/477/original/CDP-Conversion-of-fuel-data-to-MWh.pdf?1479755175."/>
    <hyperlink ref="A67:AY67" r:id="rId2" display="available at: https://www.engineeringtoolbox.com/gasoline-density-specific-heat-dynamic-kinematic-viscosity-thermal-conductivity-vs-temperature-d_2224.html;"/>
    <hyperlink ref="A69:AY69" r:id="rId3" display="available at: https://atdmco.com/wiki-density-of-bitumen/;"/>
    <hyperlink ref="A71" r:id="rId4" display="https://engineeringtoolbox.com/gas-density-d_158.html"/>
    <hyperlink ref="A73:AY73" r:id="rId5" display="avalable at: https://www.energuide.be/en/questions-answers/what-is-the-calorific-value-of-gas/9655/;"/>
    <hyperlink ref="A75:AY75" r:id="rId6" display="available at: http://cyyenergy.com/en/Products/info_itemid_138.html;"/>
    <hyperlink ref="A77:AY77" r:id="rId7" display="available at: https://op.europa.eu/en/publication-detail/-/publication/eaa047e8-644c-4149-bdcb-9dde79c64a12;"/>
    <hyperlink ref="A78:AY78" r:id="rId8" display="https://www.bhel.com/sites/default/files/gas-properties-cog-1580716150.pdf"/>
    <hyperlink ref="A80:AY80" r:id="rId9" display="available at: https://www.engineeringtoolbox.com/fuels-densities-specific-volumes-d_166.html;"/>
    <hyperlink ref="A81" r:id="rId10" display="https://www.exxonmobil.com/en-bd/commercial-fuel/pds/gl-xx-jetfuel-series"/>
    <hyperlink ref="A83" r:id="rId11" location=":~:text=Commission%20Implementing%20Regulation%20(EU)%202018,(Text%20with%20EEA%20relevance.)" display="https://eur-lex.europa.eu/eli/reg_impl/2018/2066/oj/eng#:~:text=Commission%20Implementing%20Regulation%20(EU)%202018,(Text%20with%20EEA%20relevance.)"/>
    <hyperlink ref="A86" r:id="rId12" display="https://www.researchgate.net/figure/Density-and-viscosity-of-shale-oil-in-Lucaogou-Formation-Jimsar-Sag_tbl1_336793871"/>
    <hyperlink ref="A85" r:id="rId13" display="https://osf.io/s2qbt"/>
    <hyperlink ref="A88" r:id="rId14" display="https://archive.epa.gov/emergencies/content/fss/web/pdf/orimuls.pdf"/>
    <hyperlink ref="A90" r:id="rId15" display="https://op.europa.eu/en/publication-detail/-/publication/eaa047e8-644c-4149-bdcb-9dde79c64a12"/>
    <hyperlink ref="A92" r:id="rId16" display="https://www.engineeringtoolbox.com/propane-C3H8-density-specific-weight-temperature-pressure-d_2033.html?vA=15&amp;degree"/>
    <hyperlink ref="A94" r:id="rId17" display="https://eippcb.jrc.ec.europa.eu/sites/default/files/2020-03/superseded_ref_bref-0203.pdf"/>
    <hyperlink ref="A96" r:id="rId18" display="http://www.ipcc-nggip.iges.or.jp/efdb/find_ef_ft.php"/>
    <hyperlink ref="A98" r:id="rId19" display="https://captainslog.gr/wp-content/uploads/2020/12/Sulphite-Lye-Cafn.pdf"/>
    <hyperlink ref="A100" r:id="rId20" display="https://iopscience.iop.org/article/10.1088/1757-899X/912/4/042075"/>
    <hyperlink ref="A102" r:id="rId21" display="https://www.engineeringtoolbox.com/fuels-higher-calorific-values-d_169.html"/>
    <hyperlink ref="A104" r:id="rId22" display="https://ehs.cranesville.com/msds.pdfs/MSDS(U003).pdf"/>
    <hyperlink ref="A106" r:id="rId23" display="https://www.mdpi.com/2673-5628/5/1/6;"/>
    <hyperlink ref="A108" r:id="rId24" display="https://www.shell.com/business-customers/chemicals/our-products/solvents-hydrocarbon/special-boiling-point-solvents/sbp-140-165.html."/>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K138"/>
  <sheetViews>
    <sheetView workbookViewId="0">
      <selection sqref="A1:C1"/>
    </sheetView>
  </sheetViews>
  <sheetFormatPr baseColWidth="10" defaultColWidth="8.875" defaultRowHeight="14.25"/>
  <cols>
    <col min="2" max="2" width="19.5" bestFit="1" customWidth="1"/>
    <col min="3" max="3" width="10.5" customWidth="1"/>
    <col min="4" max="4" width="43" customWidth="1"/>
    <col min="5" max="37" width="8.625" style="10"/>
  </cols>
  <sheetData>
    <row r="1" spans="1:5" s="10" customFormat="1" ht="16.5" thickTop="1" thickBot="1">
      <c r="A1" s="1122" t="s">
        <v>3648</v>
      </c>
      <c r="B1" s="1123"/>
      <c r="C1" s="1124"/>
    </row>
    <row r="2" spans="1:5" s="10" customFormat="1" ht="15.75" thickTop="1">
      <c r="A2" s="18"/>
      <c r="B2" s="18"/>
      <c r="C2" s="18"/>
    </row>
    <row r="3" spans="1:5" ht="15" thickBot="1">
      <c r="A3" s="10"/>
      <c r="B3" s="10"/>
      <c r="C3" s="10"/>
      <c r="D3" s="10"/>
    </row>
    <row r="4" spans="1:5" ht="15.75" thickBot="1">
      <c r="A4" s="1119" t="s">
        <v>3649</v>
      </c>
      <c r="B4" s="1120"/>
      <c r="C4" s="1120"/>
      <c r="D4" s="1120"/>
      <c r="E4" s="51"/>
    </row>
    <row r="5" spans="1:5" ht="15" thickBot="1">
      <c r="A5" s="44" t="s">
        <v>3650</v>
      </c>
      <c r="B5" s="198"/>
      <c r="C5" s="45" t="s">
        <v>3651</v>
      </c>
      <c r="D5" s="198"/>
    </row>
    <row r="6" spans="1:5" ht="15" thickBot="1">
      <c r="A6" s="10"/>
      <c r="B6" s="216"/>
      <c r="C6" s="10"/>
      <c r="D6" s="22" t="str">
        <f>IF(OR(B5="",B6="",D5=""),"-",
IF(AND(B5="g - gram",D5="g - gram"),B6*1,
IF(AND(B5="g - gram",D5="Kg - Kilogram"),B6*0.001,
IF(AND(B5="g - gram",D5="t - tonne"),B6*0.000001,
IF(AND(B5="g - gram",D5="Gg - Gigagram"),B6*0.000000001,
IF(AND(B5="Kg - Kilogram",D5="g - gram"),B6*1000,
IF(AND(B5="Kg - Kilogram",D5="Kg - Kilogram"),B6*1,
IF(AND(B5="Kg - Kilogram",D5="t - tonne"),B6*0.001,
IF(AND(B5="Kg - Kilogram",D5="Gg - Gigagram"),B6*0.000001,
IF(AND(B5="t - tonne",D5="g - gram"),B6*1000000,
IF(AND(B5="t - tonne",D5="Kg - Kilogram"),B6*1000,
IF(AND(B5="t - tonne",D5="t - tonne"),B6*1,
IF(AND(B5="t - tonne",D5="Gg - Gigagram"),B6*0.001,
IF(AND(B5="Gg - Gigagram",D5="g - gram"),B6*1000000000,
IF(AND(B5="Gg - Gigagram",D5="Kg - Kilogram"),B6*1000000,
IF(AND(B5="Gg - Gigagram",D5="t - tonne"),B6*1000,
IF(AND(B5="Gg - Gigagram",D5="Gg - Gigagram"),B6*1,
"")))))))))))))))))</f>
        <v>-</v>
      </c>
    </row>
    <row r="7" spans="1:5" s="10" customFormat="1" ht="15" thickBot="1"/>
    <row r="8" spans="1:5" s="10" customFormat="1" ht="15.75" thickBot="1">
      <c r="A8" s="1119" t="s">
        <v>3652</v>
      </c>
      <c r="B8" s="1120"/>
      <c r="C8" s="1120"/>
      <c r="D8" s="1121"/>
    </row>
    <row r="9" spans="1:5" s="10" customFormat="1" ht="15" thickBot="1">
      <c r="A9" s="44" t="s">
        <v>3650</v>
      </c>
      <c r="B9" s="198"/>
      <c r="C9" s="45" t="s">
        <v>3651</v>
      </c>
      <c r="D9" s="198"/>
    </row>
    <row r="10" spans="1:5" s="10" customFormat="1" ht="15" thickBot="1">
      <c r="B10" s="216"/>
      <c r="D10" s="23" t="str">
        <f>IF(OR(B9="",B10="",D9=""),"-", IF(AND(B9="m³ - cubic meters",D9="L - Liter"),B10*1000,
IF(AND(B9="m³ - cubic meters",D9="m³ - cubic meters"),B10*1,
IF(AND(B9="L - Liter",D9="m³ - cubic meters"),B10*0.001,
IF(AND(B9="L - Liter",D9="L - Liter"),B10*1,
"")))))</f>
        <v>-</v>
      </c>
    </row>
    <row r="11" spans="1:5" s="10" customFormat="1" ht="15" thickBot="1">
      <c r="B11" s="24"/>
      <c r="D11" s="24"/>
    </row>
    <row r="12" spans="1:5" s="10" customFormat="1" ht="15" customHeight="1" thickBot="1">
      <c r="A12" s="1119" t="s">
        <v>3653</v>
      </c>
      <c r="B12" s="1120"/>
      <c r="C12" s="1120"/>
      <c r="D12" s="1121"/>
    </row>
    <row r="13" spans="1:5" s="10" customFormat="1" ht="15" thickBot="1">
      <c r="A13" s="44" t="s">
        <v>3650</v>
      </c>
      <c r="B13" s="198"/>
      <c r="C13" s="45" t="s">
        <v>3651</v>
      </c>
      <c r="D13" s="198"/>
    </row>
    <row r="14" spans="1:5" s="10" customFormat="1" ht="15" thickBot="1">
      <c r="B14" s="216"/>
      <c r="D14" s="22" t="str">
        <f>IF(OR(B13="",B14="",D13=""),"-",
IF(AND(B13="MWh - Megawatt hours",D13="MWh - Megawatt hours"),B14*1,
IF(AND(B13="TJ - Terajoule",D13="TJ - Terajoule"),B14*1,
IF(AND(B13="TJ - Terajoule",D13="MWh - Megawatt hours"),B14*277.778,
IF(AND(B13="MWh - Megawatt hours",D13="MWh - Megawatt hours"),B14/277.778,
"")))))</f>
        <v>-</v>
      </c>
    </row>
    <row r="15" spans="1:5" s="10" customFormat="1"/>
    <row r="16" spans="1:5" s="10" customFormat="1" ht="15.75" thickBot="1">
      <c r="A16" s="1119" t="s">
        <v>3654</v>
      </c>
      <c r="B16" s="1120"/>
      <c r="C16" s="1120"/>
      <c r="D16" s="1121"/>
    </row>
    <row r="17" spans="1:4" s="10" customFormat="1" ht="15" thickBot="1">
      <c r="A17" s="44" t="s">
        <v>3650</v>
      </c>
      <c r="B17" s="198"/>
      <c r="C17" s="45" t="s">
        <v>3651</v>
      </c>
      <c r="D17" s="198"/>
    </row>
    <row r="18" spans="1:4" s="10" customFormat="1" ht="15" thickBot="1">
      <c r="B18" s="216"/>
      <c r="D18" s="22" t="str">
        <f>IF(OR(B17="",B16="",D17=""), "-", B18 * INDEX('Fuel Conversion Parameters'!L2:S9, MATCH(B17, 'Fuel Conversion Parameters'!K2:K9, 0), MATCH(D17, 'Fuel Conversion Parameters'!L1:S1, 0)))</f>
        <v>-</v>
      </c>
    </row>
    <row r="19" spans="1:4" s="10" customFormat="1" ht="15" thickBot="1"/>
    <row r="20" spans="1:4" s="10" customFormat="1" ht="15" customHeight="1" thickBot="1">
      <c r="A20" s="1119" t="s">
        <v>3655</v>
      </c>
      <c r="B20" s="1120"/>
      <c r="C20" s="1120"/>
      <c r="D20" s="1121"/>
    </row>
    <row r="21" spans="1:4" s="10" customFormat="1" ht="15" thickBot="1">
      <c r="A21" s="44" t="s">
        <v>3650</v>
      </c>
      <c r="B21" s="198"/>
      <c r="C21" s="45" t="s">
        <v>3651</v>
      </c>
      <c r="D21" s="198"/>
    </row>
    <row r="22" spans="1:4" s="10" customFormat="1" ht="15" thickBot="1">
      <c r="B22" s="216"/>
      <c r="D22" s="25" t="str">
        <f>IF(OR(B21="",B22="",D21=""), "-", B22 * INDEX('Fuel Conversion Parameters'!V2:AK13, MATCH(B21, 'Fuel Conversion Parameters'!U2:U13, 0), MATCH(D21, 'Fuel Conversion Parameters'!V1:AK1, 0)))</f>
        <v>-</v>
      </c>
    </row>
    <row r="23" spans="1:4" s="10" customFormat="1"/>
    <row r="24" spans="1:4" s="10" customFormat="1"/>
    <row r="25" spans="1:4" s="10" customFormat="1"/>
    <row r="26" spans="1:4" s="10" customFormat="1"/>
    <row r="27" spans="1:4" s="10" customFormat="1"/>
    <row r="28" spans="1:4" s="10" customFormat="1"/>
    <row r="29" spans="1:4" s="10" customFormat="1"/>
    <row r="30" spans="1:4" s="10" customFormat="1"/>
    <row r="31" spans="1:4" s="10" customFormat="1"/>
    <row r="32" spans="1:4" s="10" customFormat="1"/>
    <row r="33" s="10" customFormat="1"/>
    <row r="34" s="10" customFormat="1"/>
    <row r="35" s="10" customFormat="1"/>
    <row r="36" s="10" customFormat="1"/>
    <row r="37" s="10" customFormat="1"/>
    <row r="38" s="10" customFormat="1"/>
    <row r="39" s="10" customFormat="1"/>
    <row r="40" s="10" customFormat="1"/>
    <row r="41" s="10" customFormat="1"/>
    <row r="42" s="10" customFormat="1"/>
    <row r="43" s="10" customFormat="1"/>
    <row r="44" s="10" customFormat="1"/>
    <row r="45" s="10" customFormat="1"/>
    <row r="46" s="10" customFormat="1"/>
    <row r="47" s="10" customFormat="1"/>
    <row r="48" s="10" customFormat="1"/>
    <row r="49" s="10" customFormat="1"/>
    <row r="50" s="10" customFormat="1"/>
    <row r="51" s="10" customFormat="1"/>
    <row r="52" s="10" customFormat="1"/>
    <row r="53" s="10" customFormat="1"/>
    <row r="54" s="10" customFormat="1"/>
    <row r="55" s="10" customFormat="1"/>
    <row r="56" s="10" customFormat="1"/>
    <row r="57" s="10" customFormat="1"/>
    <row r="58" s="10" customFormat="1"/>
    <row r="59" s="10" customFormat="1"/>
    <row r="60" s="10" customFormat="1"/>
    <row r="61" s="10" customFormat="1"/>
    <row r="62" s="10" customFormat="1"/>
    <row r="63" s="10" customFormat="1"/>
    <row r="64" s="10" customFormat="1"/>
    <row r="65" s="10" customFormat="1"/>
    <row r="66" s="10" customFormat="1"/>
    <row r="67" s="10" customFormat="1"/>
    <row r="68" s="10" customFormat="1"/>
    <row r="69" s="10" customFormat="1"/>
    <row r="70" s="10" customFormat="1"/>
    <row r="71" s="10" customFormat="1"/>
    <row r="72" s="10" customFormat="1"/>
    <row r="73" s="10" customFormat="1"/>
    <row r="74" s="10" customFormat="1"/>
    <row r="75" s="10" customFormat="1"/>
    <row r="76" s="10" customFormat="1"/>
    <row r="77" s="10" customFormat="1"/>
    <row r="78" s="10" customFormat="1"/>
    <row r="79" s="10" customFormat="1"/>
    <row r="80" s="10" customFormat="1"/>
    <row r="81" s="10" customFormat="1"/>
    <row r="82" s="10" customFormat="1"/>
    <row r="83" s="10" customFormat="1"/>
    <row r="84" s="10" customFormat="1"/>
    <row r="85" s="10" customFormat="1"/>
    <row r="86" s="10" customFormat="1"/>
    <row r="87" s="10" customFormat="1"/>
    <row r="88" s="10" customFormat="1"/>
    <row r="89" s="10" customFormat="1"/>
    <row r="90" s="10" customFormat="1"/>
    <row r="91" s="10" customFormat="1"/>
    <row r="92" s="10" customFormat="1"/>
    <row r="93" s="10" customFormat="1"/>
    <row r="94" s="10" customFormat="1"/>
    <row r="95" s="10" customFormat="1"/>
    <row r="96" s="10" customFormat="1"/>
    <row r="97" s="10" customFormat="1"/>
    <row r="98" s="10" customFormat="1"/>
    <row r="99" s="10" customFormat="1"/>
    <row r="100" s="10" customFormat="1"/>
    <row r="101" s="10" customFormat="1"/>
    <row r="102" s="10" customFormat="1"/>
    <row r="103" s="10" customFormat="1"/>
    <row r="104" s="10" customFormat="1"/>
    <row r="105" s="10" customFormat="1"/>
    <row r="106" s="10" customFormat="1"/>
    <row r="107" s="10" customFormat="1"/>
    <row r="108" s="10" customFormat="1"/>
    <row r="109" s="10" customFormat="1"/>
    <row r="110" s="10" customFormat="1"/>
    <row r="111" s="10" customFormat="1"/>
    <row r="112" s="10" customFormat="1"/>
    <row r="113" s="10" customFormat="1"/>
    <row r="114" s="10" customFormat="1"/>
    <row r="115" s="10" customFormat="1"/>
    <row r="116" s="10" customFormat="1"/>
    <row r="117" s="10" customFormat="1"/>
    <row r="118" s="10" customFormat="1"/>
    <row r="119" s="10" customFormat="1"/>
    <row r="120" s="10" customFormat="1"/>
    <row r="121" s="10" customFormat="1"/>
    <row r="122" s="10" customFormat="1"/>
    <row r="123" s="10" customFormat="1"/>
    <row r="124" s="10" customFormat="1"/>
    <row r="125" s="10" customFormat="1"/>
    <row r="126" s="10" customFormat="1"/>
    <row r="127" s="10" customFormat="1"/>
    <row r="128" s="10" customFormat="1"/>
    <row r="129" s="10" customFormat="1"/>
    <row r="130" s="10" customFormat="1"/>
    <row r="131" s="10" customFormat="1"/>
    <row r="132" s="10" customFormat="1"/>
    <row r="133" s="10" customFormat="1"/>
    <row r="134" s="10" customFormat="1"/>
    <row r="135" s="10" customFormat="1"/>
    <row r="136" s="10" customFormat="1"/>
    <row r="137" s="10" customFormat="1"/>
    <row r="138" s="10" customFormat="1"/>
  </sheetData>
  <sheetProtection algorithmName="SHA-512" hashValue="MON9J3MNh49KGs0t8RETzzP8LZbkX+yu3UY2ZtZI+Mmi2PRUE7LsYO91NPxy7UcqhzmkySKywWGoGyhAWkqJxw==" saltValue="JqPpyckQG4J/2jzWExZAlw==" spinCount="100000" sheet="1" objects="1" scenarios="1" formatColumns="0" formatRows="0"/>
  <mergeCells count="6">
    <mergeCell ref="A20:D20"/>
    <mergeCell ref="A1:C1"/>
    <mergeCell ref="A4:D4"/>
    <mergeCell ref="A8:D8"/>
    <mergeCell ref="A12:D12"/>
    <mergeCell ref="A16:D16"/>
  </mergeCells>
  <dataValidations count="7">
    <dataValidation type="list" operator="equal" allowBlank="1" showInputMessage="1" showErrorMessage="1" sqref="B13">
      <formula1>enum_ListEnergy</formula1>
    </dataValidation>
    <dataValidation type="list" allowBlank="1" showInputMessage="1" showErrorMessage="1" sqref="B13 D13">
      <formula1>enum_ListEnergy</formula1>
    </dataValidation>
    <dataValidation type="list" allowBlank="1" showInputMessage="1" showErrorMessage="1" sqref="B21 D21">
      <formula1>enum_ListNCV</formula1>
    </dataValidation>
    <dataValidation type="list" allowBlank="1" showInputMessage="1" showErrorMessage="1" sqref="B17 D17">
      <formula1>enum_ListDensity</formula1>
    </dataValidation>
    <dataValidation type="decimal" operator="equal" allowBlank="1" showInputMessage="1" showErrorMessage="1" sqref="B6 B18 B22 B10:B12 B14">
      <formula1>B6</formula1>
    </dataValidation>
    <dataValidation type="list" allowBlank="1" showInputMessage="1" showErrorMessage="1" sqref="B5 D5">
      <formula1>enum_ListMass</formula1>
    </dataValidation>
    <dataValidation type="list" allowBlank="1" showInputMessage="1" showErrorMessage="1" sqref="D9 B9">
      <formula1>enum_ListVolume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fclProjectId xmlns="1daca54f-5fb0-46da-90de-dff88369e459">2501101243377829</efclProjectId>
    <efclPublishedToWebsite xmlns="1daca54f-5fb0-46da-90de-dff88369e459" xsi:nil="true"/>
    <i09da1fbf7d14ea9973a5584dd477f13 xmlns="1daca54f-5fb0-46da-90de-dff88369e459">
      <Terms xmlns="http://schemas.microsoft.com/office/infopath/2007/PartnerControls"/>
    </i09da1fbf7d14ea9973a5584dd477f13>
    <efclPublishedTo xmlns="1daca54f-5fb0-46da-90de-dff88369e459">
      <Url xsi:nil="true"/>
      <Description xsi:nil="true"/>
    </efclPublishedTo>
    <ge496a40d5c44658bad5a6d98308f1ba xmlns="1daca54f-5fb0-46da-90de-dff88369e459">
      <Terms xmlns="http://schemas.microsoft.com/office/infopath/2007/PartnerControls"/>
    </ge496a40d5c44658bad5a6d98308f1ba>
    <efclDocumentDescription xmlns="1daca54f-5fb0-46da-90de-dff88369e459" xsi:nil="true"/>
    <p59a4e4f2bd147658de67f2316c08396 xmlns="1daca54f-5fb0-46da-90de-dff88369e459">
      <Terms xmlns="http://schemas.microsoft.com/office/infopath/2007/PartnerControls"/>
    </p59a4e4f2bd147658de67f2316c08396>
    <TaxCatchAll xmlns="1daca54f-5fb0-46da-90de-dff88369e459" xsi:nil="true"/>
    <efclPublishedToMeeting xmlns="1daca54f-5fb0-46da-90de-dff88369e459" xsi:nil="true"/>
    <e13db7feed7b463daca4211c55acd0c4 xmlns="1daca54f-5fb0-46da-90de-dff88369e459">
      <Terms xmlns="http://schemas.microsoft.com/office/infopath/2007/PartnerControls"/>
    </e13db7feed7b463daca4211c55acd0c4>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424757986E2540868CAE723C1A3093F1010075358054E2A84B419DAF55079D0D5A5D" ma:contentTypeVersion="16" ma:contentTypeDescription="Create a new document." ma:contentTypeScope="" ma:versionID="c3a21bd6018ed078a8087cfbbeb3a34e">
  <xsd:schema xmlns:xsd="http://www.w3.org/2001/XMLSchema" xmlns:xs="http://www.w3.org/2001/XMLSchema" xmlns:p="http://schemas.microsoft.com/office/2006/metadata/properties" xmlns:ns2="1daca54f-5fb0-46da-90de-dff88369e459" xmlns:ns3="03dbcffb-d0ee-4b89-b5e3-7c232fa0562c" targetNamespace="http://schemas.microsoft.com/office/2006/metadata/properties" ma:root="true" ma:fieldsID="c41430db80e38006dd9c33000cbb2a3e" ns2:_="" ns3:_="">
    <xsd:import namespace="1daca54f-5fb0-46da-90de-dff88369e459"/>
    <xsd:import namespace="03dbcffb-d0ee-4b89-b5e3-7c232fa0562c"/>
    <xsd:element name="properties">
      <xsd:complexType>
        <xsd:sequence>
          <xsd:element name="documentManagement">
            <xsd:complexType>
              <xsd:all>
                <xsd:element ref="ns2:ge496a40d5c44658bad5a6d98308f1ba" minOccurs="0"/>
                <xsd:element ref="ns2:TaxCatchAll" minOccurs="0"/>
                <xsd:element ref="ns2:TaxCatchAllLabel" minOccurs="0"/>
                <xsd:element ref="ns2:efclDocumentDescription" minOccurs="0"/>
                <xsd:element ref="ns2:efclProjectId" minOccurs="0"/>
                <xsd:element ref="ns2:p59a4e4f2bd147658de67f2316c08396" minOccurs="0"/>
                <xsd:element ref="ns2:i09da1fbf7d14ea9973a5584dd477f13" minOccurs="0"/>
                <xsd:element ref="ns2:e13db7feed7b463daca4211c55acd0c4" minOccurs="0"/>
                <xsd:element ref="ns2:efclPublishedToMeeting" minOccurs="0"/>
                <xsd:element ref="ns2:efclPublishedToWebsite" minOccurs="0"/>
                <xsd:element ref="ns2:efclPublishedTo"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aca54f-5fb0-46da-90de-dff88369e459" elementFormDefault="qualified">
    <xsd:import namespace="http://schemas.microsoft.com/office/2006/documentManagement/types"/>
    <xsd:import namespace="http://schemas.microsoft.com/office/infopath/2007/PartnerControls"/>
    <xsd:element name="ge496a40d5c44658bad5a6d98308f1ba" ma:index="8" nillable="true" ma:taxonomy="true" ma:internalName="ge496a40d5c44658bad5a6d98308f1ba" ma:taxonomyFieldName="efclDocumentType" ma:displayName="Document Type" ma:fieldId="{0e496a40-d5c4-4658-bad5-a6d98308f1ba}" ma:sspId="b5354ee9-1167-4e6c-842d-e3226f29bc49" ma:termSetId="4a3b34fd-4214-4cbe-a4ca-75cc788de7bf"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48a8a40-94a0-4074-8100-87d75799240b}" ma:internalName="TaxCatchAll" ma:showField="CatchAllData" ma:web="1daca54f-5fb0-46da-90de-dff88369e45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48a8a40-94a0-4074-8100-87d75799240b}" ma:internalName="TaxCatchAllLabel" ma:readOnly="true" ma:showField="CatchAllDataLabel" ma:web="1daca54f-5fb0-46da-90de-dff88369e459">
      <xsd:complexType>
        <xsd:complexContent>
          <xsd:extension base="dms:MultiChoiceLookup">
            <xsd:sequence>
              <xsd:element name="Value" type="dms:Lookup" maxOccurs="unbounded" minOccurs="0" nillable="true"/>
            </xsd:sequence>
          </xsd:extension>
        </xsd:complexContent>
      </xsd:complexType>
    </xsd:element>
    <xsd:element name="efclDocumentDescription" ma:index="12" nillable="true" ma:displayName="Document Description" ma:internalName="efclDocumentDescription">
      <xsd:simpleType>
        <xsd:restriction base="dms:Note">
          <xsd:maxLength value="255"/>
        </xsd:restriction>
      </xsd:simpleType>
    </xsd:element>
    <xsd:element name="efclProjectId" ma:index="13" nillable="true" ma:displayName="Project ID" ma:default="2501101243377829" ma:internalName="efclProjectId">
      <xsd:simpleType>
        <xsd:restriction base="dms:Text"/>
      </xsd:simpleType>
    </xsd:element>
    <xsd:element name="p59a4e4f2bd147658de67f2316c08396" ma:index="14" nillable="true" ma:taxonomy="true" ma:internalName="p59a4e4f2bd147658de67f2316c08396" ma:taxonomyFieldName="efclTopics" ma:displayName="Topics" ma:readOnly="false" ma:fieldId="{959a4e4f-2bd1-4765-8de6-7f2316c08396}" ma:taxonomyMulti="true" ma:sspId="b5354ee9-1167-4e6c-842d-e3226f29bc49" ma:termSetId="319aa627-c73c-4f98-a92f-bfbccc408535" ma:anchorId="00000000-0000-0000-0000-000000000000" ma:open="false" ma:isKeyword="false">
      <xsd:complexType>
        <xsd:sequence>
          <xsd:element ref="pc:Terms" minOccurs="0" maxOccurs="1"/>
        </xsd:sequence>
      </xsd:complexType>
    </xsd:element>
    <xsd:element name="i09da1fbf7d14ea9973a5584dd477f13" ma:index="16" nillable="true" ma:taxonomy="true" ma:internalName="i09da1fbf7d14ea9973a5584dd477f13" ma:taxonomyFieldName="efclStandards" ma:displayName="Standards" ma:readOnly="false" ma:fieldId="{209da1fb-f7d1-4ea9-973a-5584dd477f13}" ma:taxonomyMulti="true" ma:sspId="b5354ee9-1167-4e6c-842d-e3226f29bc49" ma:termSetId="fde5f5a0-e3e9-40ac-9599-ce094e9f11cc" ma:anchorId="00000000-0000-0000-0000-000000000000" ma:open="false" ma:isKeyword="false">
      <xsd:complexType>
        <xsd:sequence>
          <xsd:element ref="pc:Terms" minOccurs="0" maxOccurs="1"/>
        </xsd:sequence>
      </xsd:complexType>
    </xsd:element>
    <xsd:element name="e13db7feed7b463daca4211c55acd0c4" ma:index="18" nillable="true" ma:taxonomy="true" ma:internalName="e13db7feed7b463daca4211c55acd0c4" ma:taxonomyFieldName="efclProjectStage" ma:displayName="Project Stage" ma:default="253;#Research phase|5bf5d1b0-3201-4aff-a408-fb5a935de7e7" ma:fieldId="{e13db7fe-ed7b-463d-aca4-211c55acd0c4}" ma:sspId="b5354ee9-1167-4e6c-842d-e3226f29bc49" ma:termSetId="9b49bf5b-71f9-4ba2-853c-72048cccbf8f" ma:anchorId="00000000-0000-0000-0000-000000000000" ma:open="false" ma:isKeyword="false">
      <xsd:complexType>
        <xsd:sequence>
          <xsd:element ref="pc:Terms" minOccurs="0" maxOccurs="1"/>
        </xsd:sequence>
      </xsd:complexType>
    </xsd:element>
    <xsd:element name="efclPublishedToMeeting" ma:index="20" nillable="true" ma:displayName="Published To meeting?" ma:hidden="true" ma:internalName="efclPublishedToMeeting" ma:readOnly="false">
      <xsd:simpleType>
        <xsd:restriction base="dms:Boolean"/>
      </xsd:simpleType>
    </xsd:element>
    <xsd:element name="efclPublishedToWebsite" ma:index="21" nillable="true" ma:displayName="Published To website?" ma:hidden="true" ma:internalName="efclPublishedToWebsite" ma:readOnly="false">
      <xsd:simpleType>
        <xsd:restriction base="dms:Boolean"/>
      </xsd:simpleType>
    </xsd:element>
    <xsd:element name="efclPublishedTo" ma:index="22" nillable="true" ma:displayName="Published To" ma:internalName="efclPublishedTo">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dbcffb-d0ee-4b89-b5e3-7c232fa0562c"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3942F3-16A5-4815-B8A9-F6DE569DC588}">
  <ds:schemaRefs>
    <ds:schemaRef ds:uri="http://purl.org/dc/terms/"/>
    <ds:schemaRef ds:uri="http://www.w3.org/XML/1998/namespace"/>
    <ds:schemaRef ds:uri="http://schemas.microsoft.com/office/2006/documentManagement/types"/>
    <ds:schemaRef ds:uri="03dbcffb-d0ee-4b89-b5e3-7c232fa0562c"/>
    <ds:schemaRef ds:uri="http://schemas.microsoft.com/office/infopath/2007/PartnerControls"/>
    <ds:schemaRef ds:uri="http://schemas.openxmlformats.org/package/2006/metadata/core-properties"/>
    <ds:schemaRef ds:uri="http://purl.org/dc/elements/1.1/"/>
    <ds:schemaRef ds:uri="1daca54f-5fb0-46da-90de-dff88369e459"/>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6AEBA6F-9411-4923-AA77-FC83D4C0025F}">
  <ds:schemaRefs>
    <ds:schemaRef ds:uri="http://schemas.microsoft.com/sharepoint/v3/contenttype/forms"/>
  </ds:schemaRefs>
</ds:datastoreItem>
</file>

<file path=customXml/itemProps3.xml><?xml version="1.0" encoding="utf-8"?>
<ds:datastoreItem xmlns:ds="http://schemas.openxmlformats.org/officeDocument/2006/customXml" ds:itemID="{2C5FD091-3A15-40A1-A72C-66A40E4C7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aca54f-5fb0-46da-90de-dff88369e459"/>
    <ds:schemaRef ds:uri="03dbcffb-d0ee-4b89-b5e3-7c232fa056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300</vt:i4>
      </vt:variant>
    </vt:vector>
  </HeadingPairs>
  <TitlesOfParts>
    <vt:vector size="312" baseType="lpstr">
      <vt:lpstr>Introduction</vt:lpstr>
      <vt:lpstr>Table of Contents &amp; Validation</vt:lpstr>
      <vt:lpstr>General Information</vt:lpstr>
      <vt:lpstr>Environmental Disclosures</vt:lpstr>
      <vt:lpstr>Social Disclosures</vt:lpstr>
      <vt:lpstr>Governance Disclosures</vt:lpstr>
      <vt:lpstr>Fuel Converter</vt:lpstr>
      <vt:lpstr>Fuel Conversion Parameters</vt:lpstr>
      <vt:lpstr>Unit Of Measurement Converter</vt:lpstr>
      <vt:lpstr>Licence</vt:lpstr>
      <vt:lpstr>Enumeration Lists</vt:lpstr>
      <vt:lpstr>Technical Sheet</vt:lpstr>
      <vt:lpstr>AddressOfSite</vt:lpstr>
      <vt:lpstr>AmountOfEmissionsTable</vt:lpstr>
      <vt:lpstr>AmountOfEmissionToAir</vt:lpstr>
      <vt:lpstr>AmountOfEmissionToAir_unit</vt:lpstr>
      <vt:lpstr>AmountOfEmissionToSoil</vt:lpstr>
      <vt:lpstr>AmountOfEmissionToSoil_unit</vt:lpstr>
      <vt:lpstr>AmountOfEmissionToWater</vt:lpstr>
      <vt:lpstr>AmountOfEmissionToWater_unit</vt:lpstr>
      <vt:lpstr>AmountOfWaterWithdrawnAtSitesLocatedInAreasOfHighWaterStress</vt:lpstr>
      <vt:lpstr>AreaOfSiteInBiodiversitySensitiveArea</vt:lpstr>
      <vt:lpstr>AreaOfSiteInBiodiversitySensitiveArea_unit</vt:lpstr>
      <vt:lpstr>Assets</vt:lpstr>
      <vt:lpstr>AverageNumberOfAnnualTrainingHoursPerFemaleEmployee</vt:lpstr>
      <vt:lpstr>AverageNumberOfAnnualTrainingHoursPerMaleEmployee</vt:lpstr>
      <vt:lpstr>AverageNumberOfAnnualTrainingHoursPerNonReportedGenderEmployee</vt:lpstr>
      <vt:lpstr>AverageNumberOfAnnualTrainingHoursPerOtherGenderEmployee</vt:lpstr>
      <vt:lpstr>BaselineYearMember</vt:lpstr>
      <vt:lpstr>BasisForPreparation</vt:lpstr>
      <vt:lpstr>BasisForReporting</vt:lpstr>
      <vt:lpstr>BreakdownOfAnnualMassFlowOfRelevantMaterialsUsedByTheUndertakingHypercube</vt:lpstr>
      <vt:lpstr>BreakdownOfEnergyConsumptionAxis</vt:lpstr>
      <vt:lpstr>BreakdownOfEnergyConsumptionTable</vt:lpstr>
      <vt:lpstr>CityOfSite</vt:lpstr>
      <vt:lpstr>CountryOfEmploymentContractAxis</vt:lpstr>
      <vt:lpstr>CountryOfPrimaryOperationsAndLocationOfSignificantAssets</vt:lpstr>
      <vt:lpstr>CountryOfSite</vt:lpstr>
      <vt:lpstr>DateOfAdoptionOfTransitionPlanForUndertakingNotHavingAdoptedTransitionPlanYet</vt:lpstr>
      <vt:lpstr>DescriptionOfActionsTakeToAddressTheConfirmedIncidents</vt:lpstr>
      <vt:lpstr>DescriptionOfATargetRelatedToAPolicy</vt:lpstr>
      <vt:lpstr>DescriptionOfATransitionPlanForClimateChangeMitigationIncludingAnExplanationOfHowItIsContributingToReduceGhgEmissions</vt:lpstr>
      <vt:lpstr>DescriptionOfClimateRelatedHazardsAndClimateRelatedTransitionEvents</vt:lpstr>
      <vt:lpstr>DescriptionOfHowCircularEconomyPrinciplesAreApplied</vt:lpstr>
      <vt:lpstr>DescriptionOfKeyElementsOfStrategyThatRelatesToOrAffectsSustainabilityIssues</vt:lpstr>
      <vt:lpstr>DescriptionOfLimitsToTheDistributionOfProfitsConnectedToTheMutualisticNatureOrToTheNatureOfTheActivitiesConsistingInServicesOfGeneralEconomicInterestSGEI</vt:lpstr>
      <vt:lpstr>DescriptionOfMainBusinessRelationships</vt:lpstr>
      <vt:lpstr>DescriptionOfPracticesPoliciesAndOrFutureInitiatives</vt:lpstr>
      <vt:lpstr>DescriptionOfSignificantGroupsOfProductsAndOrServicesOffered</vt:lpstr>
      <vt:lpstr>DescriptionOfSignificantMarketsTheUndertakingOperatesIn</vt:lpstr>
      <vt:lpstr>DescriptionOfSustainabilityRelatedCertificationsOrLabels</vt:lpstr>
      <vt:lpstr>DescriptionOfTheEffectiveParticipationOfWorkersUsersOrOtherinterestedPartiesOrCommunitiesInGovernance</vt:lpstr>
      <vt:lpstr>DisclosureOfAnyOtherEnvironmentalAndOrEntitySpecificEnvironmentalDisclosures</vt:lpstr>
      <vt:lpstr>DisclosureOfAnyOtherGeneralAndOrEntitySpecificInformation</vt:lpstr>
      <vt:lpstr>DisclosureOfAnyOtherGovernanceAndOrEntitySpecificGovernanceDisclosures</vt:lpstr>
      <vt:lpstr>DisclosureOfAnyOtherSocialAndOrEntitySpecificSocialDisclosures</vt:lpstr>
      <vt:lpstr>DisclosureOfHowItHasAssessedTheExposureAndSensitivityOfItsAssetsActivitiesAndValueChainToTheseHazardsAndTransitionEvents</vt:lpstr>
      <vt:lpstr>DisclosureOfListOfMainActionsTheEntitySeeksInOrderToAchieveItsTargets</vt:lpstr>
      <vt:lpstr>DisclosureOfWhetherItHasUndertakenClimateChangeAdaptationActionsForAnyClimateRelatedHazardsAndTransitionEvents</vt:lpstr>
      <vt:lpstr>EmployeeCountingMethodology</vt:lpstr>
      <vt:lpstr>EmployeesReceivePayEqualOrAboveMinimumWageDeterminedByNationalLawOrCollectiveAgreement</vt:lpstr>
      <vt:lpstr>EmployeeTurnoverRate</vt:lpstr>
      <vt:lpstr>EnergyConsumptionFromElectricity_NonRenewableEnergyMember</vt:lpstr>
      <vt:lpstr>EnergyConsumptionFromElectricity_RenewableEnergyMember</vt:lpstr>
      <vt:lpstr>EnergyConsumptionFromElectricity_TotalRenewableAndNonRenewableEnergyMember</vt:lpstr>
      <vt:lpstr>EnergyConsumptionFromFuels_NonRenewableEnergyMember</vt:lpstr>
      <vt:lpstr>EnergyConsumptionFromFuels_RenewableEnergyMember</vt:lpstr>
      <vt:lpstr>EnergyConsumptionFromFuels_TotalRenewableAndNonRenewableEnergyMember</vt:lpstr>
      <vt:lpstr>EnergyConsumptionFromSelfGeneratedElectricity_NonRenewableEnergyMember</vt:lpstr>
      <vt:lpstr>EnergyConsumptionFromSelfGeneratedElectricity_RenewableEnergyMember</vt:lpstr>
      <vt:lpstr>EnergyConsumptionFromSelfGeneratedElectricity_TotalRenewableAndNonRenewableEnergyMember</vt:lpstr>
      <vt:lpstr>enum_B2</vt:lpstr>
      <vt:lpstr>enum_employee_methodology</vt:lpstr>
      <vt:lpstr>enum_ImplementationStatus</vt:lpstr>
      <vt:lpstr>enum_ListBiodiversityArea</vt:lpstr>
      <vt:lpstr>enum_ListCountiesCode</vt:lpstr>
      <vt:lpstr>enum_ListCountriesName</vt:lpstr>
      <vt:lpstr>enum_ListDays</vt:lpstr>
      <vt:lpstr>enum_ListDensity</vt:lpstr>
      <vt:lpstr>enum_ListEnergy</vt:lpstr>
      <vt:lpstr>enum_ListFuel</vt:lpstr>
      <vt:lpstr>enum_ListHectM2</vt:lpstr>
      <vt:lpstr>enum_ListIdentifier</vt:lpstr>
      <vt:lpstr>enum_ListLegalForms</vt:lpstr>
      <vt:lpstr>enum_ListMass</vt:lpstr>
      <vt:lpstr>enum_ListMediumOfRelease</vt:lpstr>
      <vt:lpstr>enum_ListMonth</vt:lpstr>
      <vt:lpstr>enum_ListNACECategories</vt:lpstr>
      <vt:lpstr>enum_ListNACECode</vt:lpstr>
      <vt:lpstr>enum_ListNACETechnicalName</vt:lpstr>
      <vt:lpstr>enum_ListNCV</vt:lpstr>
      <vt:lpstr>enum_ListOfCurrencies</vt:lpstr>
      <vt:lpstr>enum_ListOfFutureYears</vt:lpstr>
      <vt:lpstr>enum_ListOfPastYears</vt:lpstr>
      <vt:lpstr>enum_ListOmittedDisclosures</vt:lpstr>
      <vt:lpstr>enum_ListOmittedDisclosuresWithNone</vt:lpstr>
      <vt:lpstr>enum_ListPollutants</vt:lpstr>
      <vt:lpstr>enum_ListRenewabilityState</vt:lpstr>
      <vt:lpstr>enum_ListStateOfMatter</vt:lpstr>
      <vt:lpstr>enum_ListSustainabilityIssues</vt:lpstr>
      <vt:lpstr>enum_ListTypeOfWastes</vt:lpstr>
      <vt:lpstr>enum_ListUnitMeasurement</vt:lpstr>
      <vt:lpstr>enum_ListUnitMeasurement_mass_only</vt:lpstr>
      <vt:lpstr>enum_ListVolume</vt:lpstr>
      <vt:lpstr>enum_ListVolumeMass</vt:lpstr>
      <vt:lpstr>enum_ListWasteCategories</vt:lpstr>
      <vt:lpstr>enum_ListYear</vt:lpstr>
      <vt:lpstr>enum_ListYesNo</vt:lpstr>
      <vt:lpstr>FemaleToMaleRatioAtManagementLevelForTheReportingPeriod</vt:lpstr>
      <vt:lpstr>FinancialInvestmentInTheCapitalOrAssetsOfSocialEconomyEntities</vt:lpstr>
      <vt:lpstr>GenderDiversityRatioInGovernanceBody</vt:lpstr>
      <vt:lpstr>GPSLocationOfSite</vt:lpstr>
      <vt:lpstr>GreenhouseGasEmissionReductionTargetBaseYear</vt:lpstr>
      <vt:lpstr>GreenhouseGasEmissionReductionTargetYear</vt:lpstr>
      <vt:lpstr>GrossLocationBasedScope2GreenhouseGasEmissions</vt:lpstr>
      <vt:lpstr>GrossLocationBasedScope2GreenhouseGasEmissions_BaselineYearMember</vt:lpstr>
      <vt:lpstr>GrossLocationBasedScope2GreenhouseGasEmissions_TargetYearMember</vt:lpstr>
      <vt:lpstr>GrossMarketBasedScope2GreenhouseGasEmissions</vt:lpstr>
      <vt:lpstr>GrossMarketBasedScope2GreenhouseGasEmissions_BaselineYearMember</vt:lpstr>
      <vt:lpstr>GrossMarketBasedScope2GreenhouseGasEmissions_TargetYearMember</vt:lpstr>
      <vt:lpstr>GrossScope1GreenhouseGasEmissions</vt:lpstr>
      <vt:lpstr>GrossScope1GreenhouseGasEmissions_BaselineYearMember</vt:lpstr>
      <vt:lpstr>GrossScope1GreenhouseGasEmissions_TargetYearMember</vt:lpstr>
      <vt:lpstr>GrossScope3GreenhouseGasEmissions_BaselineYearMember</vt:lpstr>
      <vt:lpstr>GrossScope3GreenhouseGasEmissions_CurrentlyStatedMember</vt:lpstr>
      <vt:lpstr>GrossScope3GreenhouseGasEmissions_TargetYearMember</vt:lpstr>
      <vt:lpstr>IdentifierOfMaterialTypedAxis</vt:lpstr>
      <vt:lpstr>IdentifierOfSitesInBiodiversitySensitiveAreasTypedAxis</vt:lpstr>
      <vt:lpstr>IdentifierOfSiteTypedAxis</vt:lpstr>
      <vt:lpstr>IdentifierOfSubsidiaryTypedAxis</vt:lpstr>
      <vt:lpstr>LinkToPreviousReportContainingDisclosuresThatRemainUnchanged</vt:lpstr>
      <vt:lpstr>ListOfDisclosuresForWhichNoChangesAreReportedComparedToThePreviousPeriodReporting</vt:lpstr>
      <vt:lpstr>ListOfOmittedDisclosuresDeemedToBeClassifiedOrSensitiveInformation</vt:lpstr>
      <vt:lpstr>ListOfSitesTable</vt:lpstr>
      <vt:lpstr>ListOfSubsidiaryTable</vt:lpstr>
      <vt:lpstr>MostSeniorLevelAccountableForImplementationOfPracticesPoliciesAndOrFutureInitiatives</vt:lpstr>
      <vt:lpstr>NaceSectorClassificationCodes</vt:lpstr>
      <vt:lpstr>NameOfMaterialUsed</vt:lpstr>
      <vt:lpstr>NameOfTheSubsidiary</vt:lpstr>
      <vt:lpstr>NumberOfEmployees</vt:lpstr>
      <vt:lpstr>NumberOfEmployeesForCountryOfEmploymentContract</vt:lpstr>
      <vt:lpstr>NumberOfEmployeesForCountryOfEmploymentContractTable</vt:lpstr>
      <vt:lpstr>NumberOfFatalitiesAsAResultOfWorkRelatedInjuriesAndWorkRelatedIllHealth</vt:lpstr>
      <vt:lpstr>NumberOfFemaleEmployees</vt:lpstr>
      <vt:lpstr>NumberOfMaleEmployees</vt:lpstr>
      <vt:lpstr>NumberOfNonReportedGenderEmployees</vt:lpstr>
      <vt:lpstr>NumberOfOtherGenderEmployees</vt:lpstr>
      <vt:lpstr>NumberOfPermanentContactEmployees</vt:lpstr>
      <vt:lpstr>NumberOfRecordableWorkRelatedAccidentsInTheReportingPeriod</vt:lpstr>
      <vt:lpstr>NumberOfTemporaryContractEmployees</vt:lpstr>
      <vt:lpstr>OtherUndertakingsLegalForm</vt:lpstr>
      <vt:lpstr>PercentageGapInPayBetweenFemaleAndMaleEmployees</vt:lpstr>
      <vt:lpstr>PercentageOfEmployeesCoveredByCollectiveBargainingAgreements</vt:lpstr>
      <vt:lpstr>PostalCodeOfSite</vt:lpstr>
      <vt:lpstr>PotentialAdverseEffectsOfClimateRisksThatMayAffectItsFinancialPerformanceOrBusinessOperationsInTheShortMediumOrLongTermIndicatingWhetherItAssessesTheRisksToBeHighMediumOrLow</vt:lpstr>
      <vt:lpstr>PracticePolicyAndOrFutureInitiativeIsPubliclyAvailable</vt:lpstr>
      <vt:lpstr>PubliclyAvailableDisclosure</vt:lpstr>
      <vt:lpstr>RateOfRecordableWorkRelatedAccidentsInTheReportingPeriod</vt:lpstr>
      <vt:lpstr>RegisteredAddressOfTheSubsidiary</vt:lpstr>
      <vt:lpstr>ReportContainsDisclosuresFromThePreviousReportingPeriodThatRemainUnchanged</vt:lpstr>
      <vt:lpstr>RevenueDerivedFromChemicalProduction</vt:lpstr>
      <vt:lpstr>RevenueDerivedFromCoal</vt:lpstr>
      <vt:lpstr>RevenueDerivedFromControversialWeaponsAntiPersonnelMinesClusterMunitionsChemicalWeaponsAndBiologicalWeapons</vt:lpstr>
      <vt:lpstr>RevenueDerivedFromCultivationAndProductionOfTobacco</vt:lpstr>
      <vt:lpstr>RevenueDerivedFromGas</vt:lpstr>
      <vt:lpstr>RevenueDerivedFromOil</vt:lpstr>
      <vt:lpstr>Scope1AndScope2GreenhouseGasEmissionsIntensityValueLocationBased</vt:lpstr>
      <vt:lpstr>Scope1AndScope2GreenhouseGasEmissionsIntensityValueMarketBased</vt:lpstr>
      <vt:lpstr>SiteLocatedInABiodiversitySensitiveArea</vt:lpstr>
      <vt:lpstr>SiteLocatedNearABiodiversitySensitiveArea</vt:lpstr>
      <vt:lpstr>SitesInBiodiversitySensitiveAreasTable</vt:lpstr>
      <vt:lpstr>SpecificationOfAnyConfirmedIncidentInvolvingWorkersInTheValueChainAffectedCommunitiesConsumersAndEndUsers</vt:lpstr>
      <vt:lpstr>SpecificationOfOtherHumanRightsRelatedToTheConfirmedIncident</vt:lpstr>
      <vt:lpstr>SpecificationOfOtherTypesOfContentCoveredByTheCodeOfConductOrHumanRightsPolicy</vt:lpstr>
      <vt:lpstr>SustainabilityIssueAddressedByPracticePolicyAndOrFutureInitiative</vt:lpstr>
      <vt:lpstr>TargetYearMember</vt:lpstr>
      <vt:lpstr>template_b1_basis_for_preparation_and_other_undertakings_general_information</vt:lpstr>
      <vt:lpstr>template_b1_disclosure_of_sustainability_related_certifications_or_labels</vt:lpstr>
      <vt:lpstr>template_b1_list_of_sites</vt:lpstr>
      <vt:lpstr>template_b1_list_of_subsidiaries</vt:lpstr>
      <vt:lpstr>template_b10_workforce_remuneration_collective_bargaining_and_training</vt:lpstr>
      <vt:lpstr>template_b11_convictions_and_fines_for_corruption_and_bribery</vt:lpstr>
      <vt:lpstr>template_b2_cooperative_specific_disclosures</vt:lpstr>
      <vt:lpstr>template_b2_practices_policies_and_future_initiatives_for_transitioning_towards_a_more_sustainable_economy</vt:lpstr>
      <vt:lpstr>template_b3_breakdown_of_energy_consumption_in_MWh</vt:lpstr>
      <vt:lpstr>template_b3_estimated_greenhouse_gas_emissions_considering_the_GHG_protocol_version_2004_in_tCO2e</vt:lpstr>
      <vt:lpstr>template_b3_greenhouse_gas_emission_intensity_per_turnover</vt:lpstr>
      <vt:lpstr>template_b3_total_energy_consumption_in_MWh</vt:lpstr>
      <vt:lpstr>template_b4_pollution_of_air_water_and_soil</vt:lpstr>
      <vt:lpstr>template_b5_biodiversity_land_use</vt:lpstr>
      <vt:lpstr>template_b5_sites_in_biodiversity_sensitive_areas</vt:lpstr>
      <vt:lpstr>template_b6_water_consumption</vt:lpstr>
      <vt:lpstr>template_b6_water_withdrawal</vt:lpstr>
      <vt:lpstr>template_b7_annual_mass_flow_of_relevant_materials_used</vt:lpstr>
      <vt:lpstr>template_b7_description_of_circular_economy_principles</vt:lpstr>
      <vt:lpstr>template_b7_waste_generated</vt:lpstr>
      <vt:lpstr>template_b8_workforce_general_characteristics_country_of_employment</vt:lpstr>
      <vt:lpstr>template_b8_workforce_general_characteristics_gender</vt:lpstr>
      <vt:lpstr>template_b8_workforce_general_characteristics_turnover_rate</vt:lpstr>
      <vt:lpstr>template_b8_workforce_general_characteristics_type_of_contract</vt:lpstr>
      <vt:lpstr>template_b9_workforce_health_and_safety</vt:lpstr>
      <vt:lpstr>template_c1_strategy_business_model_and_sustainability</vt:lpstr>
      <vt:lpstr>template_c2_description_of_practices_policies_and_future_initiatives_for_transitioning_towards_a_more_sustainable_economy</vt:lpstr>
      <vt:lpstr>template_c3_disclosure_of_list_of_main_actions_the_entity_seeks_in_order_to_achieve_its_targets</vt:lpstr>
      <vt:lpstr>template_c3_GHG_reduction_targets_in_tC02e</vt:lpstr>
      <vt:lpstr>template_c3_transition_plan_for_undertakings_operating_in_high_climate_impact_sectors</vt:lpstr>
      <vt:lpstr>template_c4_climate_risks</vt:lpstr>
      <vt:lpstr>template_c5_additional_general_workforce_characteristics</vt:lpstr>
      <vt:lpstr>template_c6_additional_own_workforce_information_human_rights_policies_and_processes</vt:lpstr>
      <vt:lpstr>template_c7_severe_negative_human_rights_incidents</vt:lpstr>
      <vt:lpstr>template_c8_exclusion_from_EU_reference_benchmarks</vt:lpstr>
      <vt:lpstr>template_c8_revenues_from_certain_sectors</vt:lpstr>
      <vt:lpstr>template_c9_gender_diversity_ratio_in_the_governance_body</vt:lpstr>
      <vt:lpstr>template_currency</vt:lpstr>
      <vt:lpstr>template_disclosure_of_any_other_environmental_and_or_entity_specific_enviromental_disclosures</vt:lpstr>
      <vt:lpstr>template_disclosure_of_any_other_general_and_or_entity_specific_information_on_the_reporting_period</vt:lpstr>
      <vt:lpstr>template_disclosure_of_any_other_governance_and_or_entity_specific_governance_disclosures</vt:lpstr>
      <vt:lpstr>template_disclosure_of_any_other_social_and_or_entity_specific_social_disclosures</vt:lpstr>
      <vt:lpstr>template_ending_date_display</vt:lpstr>
      <vt:lpstr>template_FUEL_CONVERTER</vt:lpstr>
      <vt:lpstr>template_further_notes</vt:lpstr>
      <vt:lpstr>template_information_on_previous_reporting_period</vt:lpstr>
      <vt:lpstr>template_information_on_the_report_necessary_for_XBRL</vt:lpstr>
      <vt:lpstr>template_overall_validation_status</vt:lpstr>
      <vt:lpstr>template_reporting_entity_identifier</vt:lpstr>
      <vt:lpstr>template_reporting_entity_identifier_scheme</vt:lpstr>
      <vt:lpstr>template_reporting_entity_name</vt:lpstr>
      <vt:lpstr>template_reporting_period_display</vt:lpstr>
      <vt:lpstr>template_reporting_period_enddate</vt:lpstr>
      <vt:lpstr>template_reporting_period_startdate</vt:lpstr>
      <vt:lpstr>template_reporting_schemaRef</vt:lpstr>
      <vt:lpstr>template_reporting_template_version</vt:lpstr>
      <vt:lpstr>TimeHorizonsOfAnyClimateRelatedHazardsAndTransitionEventsIdentified</vt:lpstr>
      <vt:lpstr>TotalAmountOfFinesForTheViolationOfAnticorruptionAndAntibriberyLaws</vt:lpstr>
      <vt:lpstr>TotalAmountOfWaterWithdrawnFromAllSites</vt:lpstr>
      <vt:lpstr>TotalEnergyConsumption</vt:lpstr>
      <vt:lpstr>TotalGrossLocationBasedGHGEmissions_BaselineYearMember</vt:lpstr>
      <vt:lpstr>TotalGrossLocationBasedGHGEmissions_CurrentlyStatedMember</vt:lpstr>
      <vt:lpstr>TotalGrossLocationBasedGHGEmissions_TargetYearMember</vt:lpstr>
      <vt:lpstr>TotalGrossLocationBasedScope1AndScope2GHGEmissions</vt:lpstr>
      <vt:lpstr>TotalGrossLocationBasedScope1AndScope2GHGEmissions_BaselineYearMember</vt:lpstr>
      <vt:lpstr>TotalGrossLocationBasedScope1AndScope2GHGEmissions_TargetYearMember</vt:lpstr>
      <vt:lpstr>TotalGrossMarketBasedGHGEmissions_BaselineYearMember</vt:lpstr>
      <vt:lpstr>TotalGrossMarketBasedGHGEmissions_CurrentlyStatedMember</vt:lpstr>
      <vt:lpstr>TotalGrossMarketBasedGHGEmissions_TargetYearMember</vt:lpstr>
      <vt:lpstr>TotalGrossMarketBasedScope1AndScope2GHGEmissions</vt:lpstr>
      <vt:lpstr>TotalGrossMarketBasedScope1AndScope2GHGEmissions_BaselineYearMember</vt:lpstr>
      <vt:lpstr>TotalGrossMarketBasedScope1AndScope2GHGEmissions_TargetYearMember</vt:lpstr>
      <vt:lpstr>TotalHazardousWasteGeneratedMass</vt:lpstr>
      <vt:lpstr>TotalHazardousWasteGeneratedMass_unit</vt:lpstr>
      <vt:lpstr>TotalHazardousWasteGeneratedVolume</vt:lpstr>
      <vt:lpstr>TotalHazardousWasteGeneratedVolume_unit</vt:lpstr>
      <vt:lpstr>TotalLocationBasedGreenhouseGasEmissionsIntensityValue</vt:lpstr>
      <vt:lpstr>TotalMarketBasedGreenhouseGasEmissionsIntensityValue</vt:lpstr>
      <vt:lpstr>TotalMassOfMaterialUsed</vt:lpstr>
      <vt:lpstr>TotalMassOfMaterialUsed_unit</vt:lpstr>
      <vt:lpstr>TotalNatureOrientedAreaOffSite</vt:lpstr>
      <vt:lpstr>TotalNatureOrientedAreaOffSite_unit</vt:lpstr>
      <vt:lpstr>TotalNatureOrientedAreaOnSite</vt:lpstr>
      <vt:lpstr>TotalNatureOrientedAreaOnSite_unit</vt:lpstr>
      <vt:lpstr>TotalNonHazardousWasteGeneratedMass</vt:lpstr>
      <vt:lpstr>TotalNonHazardousWasteGeneratedMass_unit</vt:lpstr>
      <vt:lpstr>TotalNonHazardousWasteGeneratedVolume</vt:lpstr>
      <vt:lpstr>TotalNonHazardousWasteGeneratedVolume_unit</vt:lpstr>
      <vt:lpstr>TotalNumberOfConvictionsForTheViolationOfAntiCorruptionAndAntiBriberyLaws</vt:lpstr>
      <vt:lpstr>TotalNumberOfSelfEmployedWorkersWithoutPersonnelThatAreWorkingExclusivelyForTheUndertaking</vt:lpstr>
      <vt:lpstr>TotalNumberOfTemporaryWorkersProvidedByUndertakingsPrimarilyEngagedInEmploymentActivities</vt:lpstr>
      <vt:lpstr>TotalRevenuesDerivedFromFossilFuelCoalOilAndGasSector</vt:lpstr>
      <vt:lpstr>TotalSealedArea</vt:lpstr>
      <vt:lpstr>TotalSealedArea_unit</vt:lpstr>
      <vt:lpstr>TotalUseOfLand</vt:lpstr>
      <vt:lpstr>TotalUseOfLand_unit</vt:lpstr>
      <vt:lpstr>TotalVolumeOfMaterialUsed</vt:lpstr>
      <vt:lpstr>TotalVolumeOfMaterialUsed_unit</vt:lpstr>
      <vt:lpstr>TotalWasteGeneratedMass</vt:lpstr>
      <vt:lpstr>TotalWasteGeneratedMass_unit</vt:lpstr>
      <vt:lpstr>TotalWasteGeneratedVolume</vt:lpstr>
      <vt:lpstr>TotalWasteGeneratedVolume_unit</vt:lpstr>
      <vt:lpstr>TotalWasteRecycledReusedAndDirectedToDisposalMass</vt:lpstr>
      <vt:lpstr>TotalWasteRecycledReusedAndDirectedToDisposalMass_unit</vt:lpstr>
      <vt:lpstr>TotalWasteRecycledReusedAndDirectedToDisposalVolume</vt:lpstr>
      <vt:lpstr>TotalWasteRecycledReusedAndDirectedToDisposalVolume_unit</vt:lpstr>
      <vt:lpstr>TotalWaterConsumption</vt:lpstr>
      <vt:lpstr>Turnover</vt:lpstr>
      <vt:lpstr>TypeOfContentCoveredByTheCodeOfConductOrHumanRightsPolicyForItsOwnWorkforce</vt:lpstr>
      <vt:lpstr>TypeOfHumanRightRelatedToTheConfirmedIncident</vt:lpstr>
      <vt:lpstr>TypeOfNumberOfEmployees</vt:lpstr>
      <vt:lpstr>TypeOfPollutantAxis</vt:lpstr>
      <vt:lpstr>TypeOfWasteAxis</vt:lpstr>
      <vt:lpstr>UndertakingAppliesCircularEconomyPrinciples</vt:lpstr>
      <vt:lpstr>UndertakingHasACodeOfConductOrHumanRightsPolicyForItsOwnWorkforce</vt:lpstr>
      <vt:lpstr>UndertakingHasAComplaintHandlingMechanismForItsOwnWorkforce</vt:lpstr>
      <vt:lpstr>UndertakingHasConfirmedHumanRightsIncidentsInItsOwnWorkforce</vt:lpstr>
      <vt:lpstr>UndertakingHasSetATargetWhichIsRelatedToAPolicy</vt:lpstr>
      <vt:lpstr>UndertakingIsAwareOfAnyConfirmedIncidentsInvolvingWorkersInTheValueChainAffectedCommunitiesConsumersAndEndUsers</vt:lpstr>
      <vt:lpstr>UndertakingsAreExcludedFromAnyEuReferenceBenchmarksThatAreAlignedWithTheParisAgreement</vt:lpstr>
      <vt:lpstr>UndertakingsLegalForm</vt:lpstr>
      <vt:lpstr>URLOrLinkToThePubliclyAvailableDisclosure</vt:lpstr>
      <vt:lpstr>VolumeOfMaterialUsed</vt:lpstr>
      <vt:lpstr>VolumeOfMaterialUsed_unit</vt:lpstr>
      <vt:lpstr>WasteDirectedToDisposalMass</vt:lpstr>
      <vt:lpstr>WasteDirectedToDisposalMass_unit</vt:lpstr>
      <vt:lpstr>WasteDirectedToDisposalVolume</vt:lpstr>
      <vt:lpstr>WasteDirectedToDisposalVolume_unit</vt:lpstr>
      <vt:lpstr>WasteDivertedToRecycleOrReuseMass</vt:lpstr>
      <vt:lpstr>WasteDivertedToRecycleOrReuseMass_unit</vt:lpstr>
      <vt:lpstr>WasteDivertedToRecycleOrReuseVolume</vt:lpstr>
      <vt:lpstr>WasteDivertedToRecycleOrReuseVolume_unit</vt:lpstr>
      <vt:lpstr>WasteTable</vt:lpstr>
      <vt:lpstr>WaterDischargeFromUndertakingProductionProcesses</vt:lpstr>
      <vt:lpstr>WeightOfMaterialUsed</vt:lpstr>
      <vt:lpstr>WeightOfMaterialUsed_unit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Boessen</dc:creator>
  <cp:keywords/>
  <dc:description/>
  <cp:lastModifiedBy>Fangmann Lupita</cp:lastModifiedBy>
  <cp:revision/>
  <cp:lastPrinted>2025-09-22T10:25:26Z</cp:lastPrinted>
  <dcterms:created xsi:type="dcterms:W3CDTF">2025-01-13T10:12:12Z</dcterms:created>
  <dcterms:modified xsi:type="dcterms:W3CDTF">2026-02-05T07:38:25Z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0x010100424757986E2540868CAE723C1A3093F1010075358054E2A84B419DAF55079D0D5A5D</vt:lpwstr>
  </property>
  <property fmtid="{D5CDD505-2E9C-101B-9397-08002B2CF9AE}" pid="3" name="efclTopics">
    <vt:lpwstr/>
  </property>
  <property fmtid="{D5CDD505-2E9C-101B-9397-08002B2CF9AE}" pid="4" name="efclDocumentType">
    <vt:lpwstr/>
  </property>
  <property fmtid="{D5CDD505-2E9C-101B-9397-08002B2CF9AE}" pid="5" name="efclStandards">
    <vt:lpwstr/>
  </property>
  <property fmtid="{D5CDD505-2E9C-101B-9397-08002B2CF9AE}" pid="6" name="efclProjectStage">
    <vt:lpwstr/>
  </property>
</Properties>
</file>